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pivotTables/pivotTable1.xml" ContentType="application/vnd.openxmlformats-officedocument.spreadsheetml.pivotTable+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jchu\Downloads\"/>
    </mc:Choice>
  </mc:AlternateContent>
  <xr:revisionPtr revIDLastSave="0" documentId="8_{35A84888-9B1A-42A7-92FD-ACBB0047A680}" xr6:coauthVersionLast="47" xr6:coauthVersionMax="47" xr10:uidLastSave="{00000000-0000-0000-0000-000000000000}"/>
  <workbookProtection workbookAlgorithmName="SHA-512" workbookHashValue="EJKfKoO8O8RRtELwgQY1UL+HeIDbDGNcBnOvRvxjK/Kv1rFwJfnPGNhC3zUbXw0K3KsdLOzPehtWEOKDTgJQjg==" workbookSaltValue="da1fgtMdQHPfqaDjiDfm2Q==" workbookSpinCount="100000" lockStructure="1"/>
  <bookViews>
    <workbookView xWindow="-120" yWindow="-120" windowWidth="29040" windowHeight="15720" tabRatio="672" firstSheet="4" activeTab="4" xr2:uid="{43A36FF9-2A30-44EF-AD95-443763023524}"/>
  </bookViews>
  <sheets>
    <sheet name="Summary Details" sheetId="30" r:id="rId1"/>
    <sheet name="Detailed Description" sheetId="31" state="hidden" r:id="rId2"/>
    <sheet name="Version History" sheetId="11" state="hidden" r:id="rId3"/>
    <sheet name="Enquiry" sheetId="13" state="hidden" r:id="rId4"/>
    <sheet name="Affordability Calculator" sheetId="1" r:id="rId5"/>
    <sheet name="Mortgage Repayments (UW)" sheetId="2" state="hidden" r:id="rId6"/>
    <sheet name="Mortgage Repayments (E)" sheetId="19" state="hidden" r:id="rId7"/>
    <sheet name="Data" sheetId="4" state="hidden" r:id="rId8"/>
    <sheet name="Council tax" sheetId="5" state="hidden" r:id="rId9"/>
    <sheet name="Postcodes" sheetId="9" state="hidden" r:id="rId10"/>
    <sheet name="E Calc" sheetId="14" state="hidden" r:id="rId11"/>
    <sheet name="Tax Calculator" sheetId="27" state="hidden" r:id="rId12"/>
  </sheets>
  <externalReferences>
    <externalReference r:id="rId13"/>
    <externalReference r:id="rId14"/>
  </externalReferences>
  <definedNames>
    <definedName name="_xlnm._FilterDatabase" localSheetId="8" hidden="1">'Council tax'!$B$16:$G$26</definedName>
    <definedName name="_xlnm._FilterDatabase" localSheetId="9" hidden="1">Postcodes!$A$2:$B$188</definedName>
    <definedName name="app_type">#REF!</definedName>
    <definedName name="Area">#REF!</definedName>
    <definedName name="Council_tax_bands">#REF!</definedName>
    <definedName name="Council_tax_bands_1">#REF!</definedName>
    <definedName name="council_tax_discount">#REF!</definedName>
    <definedName name="current_prod_2">#REF!</definedName>
    <definedName name="Current_product">#REF!</definedName>
    <definedName name="Department">#REF!</definedName>
    <definedName name="Entity">'[1]Standing Data'!#REF!</definedName>
    <definedName name="FirstBitOfPostcode">#REF!</definedName>
    <definedName name="Household">#REF!</definedName>
    <definedName name="LengthOfPostcodeString">#REF!</definedName>
    <definedName name="MIG">'[1]Standing Data'!$A$18:$A$20</definedName>
    <definedName name="NumberOfLettersInPostcodeDistrict">#REF!</definedName>
    <definedName name="PositionOfLastNumberInPostcodeString">#REF!</definedName>
    <definedName name="PostcodeArea">#REF!</definedName>
    <definedName name="PostcodeDistrict">#REF!</definedName>
    <definedName name="PostcodeFormatted">#REF!</definedName>
    <definedName name="PostcodeNoSpaces">#REF!</definedName>
    <definedName name="PostcodeSector">#REF!</definedName>
    <definedName name="_xlnm.Print_Area" localSheetId="4">'Affordability Calculator'!$A$2:$Q$115</definedName>
    <definedName name="_xlnm.Print_Area" localSheetId="3">Enquiry!$A$1:$W$133</definedName>
    <definedName name="_xlnm.Print_Area" localSheetId="2">'Version History'!$A$1:$Z$64</definedName>
    <definedName name="Prodcut_Length2" localSheetId="11">'[2]Mortgage Repayments (E)'!$M$10:$M$12</definedName>
    <definedName name="Prodcut_Length2">'Mortgage Repayments (E)'!$M$10:$M$12</definedName>
    <definedName name="product_length" localSheetId="11">'[2]Mortgage Repayments (UW)'!$M$10:$M$12</definedName>
    <definedName name="product_length">'Mortgage Repayments (UW)'!$M$10:$M$12</definedName>
    <definedName name="Products">'Mortgage Repayments (E)'!$M$10:$N$13</definedName>
    <definedName name="Products1">'Mortgage Repayments (E)'!$M$10:$M$13</definedName>
    <definedName name="Ratetype">'[1]Standing Data'!$A$6:$A$8</definedName>
    <definedName name="repayment_type" localSheetId="11">'[2]Mortgage Repayments (UW)'!$M$5:$M$7</definedName>
    <definedName name="repayment_type">'Mortgage Repayments (UW)'!$M$5:$M$7</definedName>
    <definedName name="review">#REF!</definedName>
    <definedName name="RowMatchForSector">#REF!</definedName>
    <definedName name="SecondBitOfPostcode">#REF!</definedName>
    <definedName name="Stuff">#REF!</definedName>
    <definedName name="TALO6" localSheetId="11">'[2]Affordability Calculator'!$C$51</definedName>
    <definedName name="TALO6">'Affordability Calculator'!$C$51</definedName>
    <definedName name="Team_Leader_Approved">#REF!</definedName>
    <definedName name="YN">#REF!</definedName>
    <definedName name="Z_0C762E80_EE8B_4405_B1DD_B3A926628697_.wvu.Cols" localSheetId="4" hidden="1">'Affordability Calculator'!$L:$L,'Affordability Calculator'!#REF!</definedName>
    <definedName name="Z_0C762E80_EE8B_4405_B1DD_B3A926628697_.wvu.FilterData" localSheetId="8" hidden="1">'Council tax'!$B$16:$G$26</definedName>
    <definedName name="Z_0C762E80_EE8B_4405_B1DD_B3A926628697_.wvu.FilterData" localSheetId="9" hidden="1">Postcodes!$A$2:$B$188</definedName>
    <definedName name="Z_0C762E80_EE8B_4405_B1DD_B3A926628697_.wvu.PrintArea" localSheetId="4" hidden="1">'Affordability Calculator'!$B$2:$Q$115</definedName>
    <definedName name="Z_0C762E80_EE8B_4405_B1DD_B3A926628697_.wvu.Rows" localSheetId="4" hidden="1">'Affordability Calculator'!$57:$58,'Affordability Calculator'!$94:$94</definedName>
  </definedNames>
  <calcPr calcId="191029"/>
  <customWorkbookViews>
    <customWorkbookView name="Rebecca Griffin - Personal View" guid="{0C762E80-EE8B-4405-B1DD-B3A926628697}" mergeInterval="0" personalView="1" maximized="1" xWindow="1272" yWindow="79" windowWidth="1296" windowHeight="1040" activeSheetId="1"/>
  </customWorkbookViews>
  <pivotCaches>
    <pivotCache cacheId="0" r:id="rId15"/>
  </pivotCaches>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 i="31" l="1"/>
  <c r="T37" i="27" l="1"/>
  <c r="O37" i="27"/>
  <c r="J37" i="27"/>
  <c r="E37" i="27"/>
  <c r="S34" i="27"/>
  <c r="N34" i="27"/>
  <c r="I34" i="27"/>
  <c r="D34" i="27"/>
  <c r="S33" i="27"/>
  <c r="R33" i="27"/>
  <c r="N33" i="27"/>
  <c r="M33" i="27"/>
  <c r="I33" i="27"/>
  <c r="H33" i="27"/>
  <c r="D33" i="27"/>
  <c r="C33" i="27"/>
  <c r="S32" i="27"/>
  <c r="R32" i="27"/>
  <c r="N32" i="27"/>
  <c r="M32" i="27"/>
  <c r="I32" i="27"/>
  <c r="H32" i="27"/>
  <c r="D32" i="27"/>
  <c r="C32" i="27"/>
  <c r="S29" i="27"/>
  <c r="N29" i="27"/>
  <c r="I29" i="27"/>
  <c r="D29" i="27"/>
  <c r="S28" i="27"/>
  <c r="R28" i="27"/>
  <c r="N28" i="27"/>
  <c r="M28" i="27"/>
  <c r="I28" i="27"/>
  <c r="H28" i="27"/>
  <c r="D28" i="27"/>
  <c r="C28" i="27"/>
  <c r="S27" i="27"/>
  <c r="N27" i="27"/>
  <c r="I27" i="27"/>
  <c r="D27" i="27"/>
  <c r="S26" i="27"/>
  <c r="N26" i="27"/>
  <c r="I26" i="27"/>
  <c r="D26" i="27"/>
  <c r="S25" i="27"/>
  <c r="N25" i="27"/>
  <c r="I25" i="27"/>
  <c r="D25" i="27"/>
  <c r="S24" i="27"/>
  <c r="N24" i="27"/>
  <c r="I24" i="27"/>
  <c r="D24" i="27"/>
  <c r="S23" i="27"/>
  <c r="N23" i="27"/>
  <c r="I23" i="27"/>
  <c r="D23" i="27"/>
  <c r="S20" i="27"/>
  <c r="N20" i="27"/>
  <c r="I20" i="27"/>
  <c r="D20" i="27"/>
  <c r="S19" i="27"/>
  <c r="R19" i="27"/>
  <c r="N19" i="27"/>
  <c r="M19" i="27"/>
  <c r="I19" i="27"/>
  <c r="H19" i="27"/>
  <c r="D19" i="27"/>
  <c r="C19" i="27"/>
  <c r="S18" i="27"/>
  <c r="N18" i="27"/>
  <c r="I18" i="27"/>
  <c r="D18" i="27"/>
  <c r="S17" i="27"/>
  <c r="N17" i="27"/>
  <c r="I17" i="27"/>
  <c r="D17" i="27"/>
  <c r="F27" i="5" l="1"/>
  <c r="N16" i="4"/>
  <c r="F18" i="5" l="1"/>
  <c r="F19" i="5"/>
  <c r="F20" i="5"/>
  <c r="F21" i="5"/>
  <c r="F22" i="5"/>
  <c r="F23" i="5"/>
  <c r="F24" i="5"/>
  <c r="F25" i="5"/>
  <c r="F26" i="5"/>
  <c r="F17" i="5"/>
  <c r="X47" i="13"/>
  <c r="E13" i="27" s="1"/>
  <c r="X53" i="13"/>
  <c r="T13" i="27" s="1"/>
  <c r="X51" i="13"/>
  <c r="O13" i="27" s="1"/>
  <c r="X49" i="13"/>
  <c r="J13" i="27" s="1"/>
  <c r="S87" i="13"/>
  <c r="AC115" i="13" s="1"/>
  <c r="H17" i="27" l="1"/>
  <c r="H18" i="27" s="1"/>
  <c r="J19" i="27" s="1"/>
  <c r="J14" i="27"/>
  <c r="J17" i="27"/>
  <c r="J20" i="27"/>
  <c r="J29" i="27"/>
  <c r="O19" i="27"/>
  <c r="O14" i="27"/>
  <c r="O29" i="27"/>
  <c r="M17" i="27"/>
  <c r="M18" i="27" s="1"/>
  <c r="O20" i="27"/>
  <c r="O17" i="27"/>
  <c r="R17" i="27"/>
  <c r="R18" i="27" s="1"/>
  <c r="T19" i="27" s="1"/>
  <c r="T14" i="27"/>
  <c r="T29" i="27"/>
  <c r="T20" i="27"/>
  <c r="E14" i="27"/>
  <c r="C17" i="27"/>
  <c r="E20" i="27"/>
  <c r="E29" i="27"/>
  <c r="AC114" i="13"/>
  <c r="AC113" i="13"/>
  <c r="K41" i="1"/>
  <c r="E17" i="27" l="1"/>
  <c r="C18" i="27"/>
  <c r="E19" i="27" s="1"/>
  <c r="T33" i="27"/>
  <c r="T32" i="27"/>
  <c r="T34" i="27"/>
  <c r="O32" i="27"/>
  <c r="O33" i="27"/>
  <c r="O34" i="27"/>
  <c r="C23" i="27"/>
  <c r="M23" i="27"/>
  <c r="O18" i="27"/>
  <c r="O21" i="27" s="1"/>
  <c r="J33" i="27"/>
  <c r="J32" i="27"/>
  <c r="J34" i="27"/>
  <c r="T17" i="27"/>
  <c r="R23" i="27"/>
  <c r="T18" i="27"/>
  <c r="E34" i="27"/>
  <c r="E32" i="27"/>
  <c r="E33" i="27"/>
  <c r="H23" i="27"/>
  <c r="J18" i="27"/>
  <c r="J21" i="27" s="1"/>
  <c r="U113" i="13"/>
  <c r="Y17" i="1"/>
  <c r="Y16" i="1"/>
  <c r="Y15" i="1"/>
  <c r="Y14" i="1"/>
  <c r="O35" i="1"/>
  <c r="X17" i="1" s="1"/>
  <c r="K35" i="1"/>
  <c r="X16" i="1" s="1"/>
  <c r="G35" i="1"/>
  <c r="X15" i="1" s="1"/>
  <c r="C35" i="1"/>
  <c r="X14" i="1" s="1"/>
  <c r="L33" i="14"/>
  <c r="L31" i="14"/>
  <c r="L29" i="14"/>
  <c r="L27" i="14"/>
  <c r="H35" i="14"/>
  <c r="G35" i="14"/>
  <c r="F35" i="14"/>
  <c r="D35" i="14"/>
  <c r="H25" i="14"/>
  <c r="G25" i="14"/>
  <c r="F25" i="14"/>
  <c r="D25" i="14"/>
  <c r="O20" i="1"/>
  <c r="K20" i="1"/>
  <c r="G20" i="1"/>
  <c r="C20" i="1"/>
  <c r="S78" i="1"/>
  <c r="S77" i="1"/>
  <c r="S76" i="1"/>
  <c r="S75" i="1"/>
  <c r="S69" i="1"/>
  <c r="S66" i="1"/>
  <c r="S65" i="1"/>
  <c r="S61" i="1"/>
  <c r="S59" i="1"/>
  <c r="S54" i="1"/>
  <c r="X54" i="1" s="1"/>
  <c r="E18" i="27" l="1"/>
  <c r="E21" i="27" s="1"/>
  <c r="R27" i="27"/>
  <c r="R24" i="27"/>
  <c r="T24" i="27" s="1"/>
  <c r="R26" i="27"/>
  <c r="R25" i="27"/>
  <c r="T25" i="27" s="1"/>
  <c r="M27" i="27"/>
  <c r="M26" i="27"/>
  <c r="M25" i="27"/>
  <c r="M24" i="27"/>
  <c r="O24" i="27" s="1"/>
  <c r="H27" i="27"/>
  <c r="H26" i="27"/>
  <c r="H25" i="27"/>
  <c r="H24" i="27"/>
  <c r="J24" i="27" s="1"/>
  <c r="C26" i="27"/>
  <c r="C27" i="27"/>
  <c r="C24" i="27"/>
  <c r="E24" i="27" s="1"/>
  <c r="C25" i="27"/>
  <c r="E35" i="27"/>
  <c r="O35" i="27"/>
  <c r="Z16" i="1"/>
  <c r="Z17" i="1"/>
  <c r="J35" i="27"/>
  <c r="E23" i="27"/>
  <c r="J23" i="27"/>
  <c r="T23" i="27"/>
  <c r="O23" i="27"/>
  <c r="T35" i="27"/>
  <c r="T21" i="27"/>
  <c r="Z15" i="1"/>
  <c r="V77" i="1"/>
  <c r="V65" i="1"/>
  <c r="V61" i="1"/>
  <c r="V59" i="1"/>
  <c r="V75" i="1"/>
  <c r="V78" i="1"/>
  <c r="V69" i="1"/>
  <c r="W78" i="1"/>
  <c r="W59" i="1"/>
  <c r="W77" i="1"/>
  <c r="W65" i="1"/>
  <c r="W75" i="1"/>
  <c r="W61" i="1"/>
  <c r="W69" i="1"/>
  <c r="U77" i="1"/>
  <c r="U75" i="1"/>
  <c r="U69" i="1"/>
  <c r="U59" i="1"/>
  <c r="U65" i="1"/>
  <c r="U78" i="1"/>
  <c r="U61" i="1"/>
  <c r="T75" i="1"/>
  <c r="T59" i="1"/>
  <c r="T77" i="1"/>
  <c r="T69" i="1"/>
  <c r="T61" i="1"/>
  <c r="T78" i="1"/>
  <c r="T65" i="1"/>
  <c r="K39" i="1"/>
  <c r="Z14" i="1"/>
  <c r="C41" i="1" l="1"/>
  <c r="E25" i="27"/>
  <c r="T26" i="27"/>
  <c r="T27" i="27"/>
  <c r="T28" i="27"/>
  <c r="O25" i="27"/>
  <c r="O26" i="27"/>
  <c r="O28" i="27"/>
  <c r="O27" i="27"/>
  <c r="J25" i="27"/>
  <c r="J26" i="27"/>
  <c r="J27" i="27"/>
  <c r="J28" i="27"/>
  <c r="E27" i="27"/>
  <c r="E28" i="27"/>
  <c r="E26" i="27"/>
  <c r="Z33" i="13"/>
  <c r="AA33" i="13" s="1"/>
  <c r="Z32" i="13"/>
  <c r="AA32" i="13" s="1"/>
  <c r="Z31" i="13"/>
  <c r="AA31" i="13" s="1"/>
  <c r="Z30" i="13"/>
  <c r="AA30" i="13" s="1"/>
  <c r="E15" i="19"/>
  <c r="N12" i="19" s="1"/>
  <c r="D5" i="14"/>
  <c r="D7" i="14"/>
  <c r="J12" i="19" s="1"/>
  <c r="D9" i="14"/>
  <c r="D11" i="14"/>
  <c r="J10" i="19" s="1"/>
  <c r="E10" i="19" s="1"/>
  <c r="D13" i="14"/>
  <c r="J23" i="19" s="1"/>
  <c r="E23" i="19" s="1"/>
  <c r="D15" i="14"/>
  <c r="J15" i="19" s="1"/>
  <c r="D62" i="14" s="1"/>
  <c r="D17" i="14"/>
  <c r="N11" i="19" s="1"/>
  <c r="D21" i="14"/>
  <c r="F21" i="14"/>
  <c r="G21" i="14"/>
  <c r="H21" i="14"/>
  <c r="D23" i="14"/>
  <c r="F23" i="14"/>
  <c r="G23" i="14"/>
  <c r="H23" i="14"/>
  <c r="D27" i="14"/>
  <c r="F27" i="14"/>
  <c r="G27" i="14"/>
  <c r="H27" i="14"/>
  <c r="D31" i="14"/>
  <c r="F31" i="14"/>
  <c r="G31" i="14"/>
  <c r="H31" i="14"/>
  <c r="D37" i="14"/>
  <c r="F37" i="14"/>
  <c r="G37" i="14"/>
  <c r="H37" i="14"/>
  <c r="D41" i="14"/>
  <c r="F41" i="14"/>
  <c r="G41" i="14"/>
  <c r="H41" i="14"/>
  <c r="D43" i="14"/>
  <c r="F43" i="14"/>
  <c r="G43" i="14"/>
  <c r="H43" i="14"/>
  <c r="D45" i="14"/>
  <c r="F45" i="14"/>
  <c r="G45" i="14"/>
  <c r="H45" i="14"/>
  <c r="D47" i="14"/>
  <c r="F47" i="14"/>
  <c r="G47" i="14"/>
  <c r="H47" i="14"/>
  <c r="D53" i="14"/>
  <c r="F53" i="14"/>
  <c r="G53" i="14"/>
  <c r="H53" i="14"/>
  <c r="D55" i="14"/>
  <c r="F55" i="14"/>
  <c r="G55" i="14"/>
  <c r="H55" i="14"/>
  <c r="Y6" i="13"/>
  <c r="Y8" i="13"/>
  <c r="E11" i="13"/>
  <c r="E15" i="13" s="1"/>
  <c r="V86" i="13"/>
  <c r="E16" i="19" l="1"/>
  <c r="E30" i="27"/>
  <c r="E38" i="27" s="1"/>
  <c r="AA62" i="13" s="1"/>
  <c r="O30" i="27"/>
  <c r="O38" i="27" s="1"/>
  <c r="AA66" i="13" s="1"/>
  <c r="T30" i="27"/>
  <c r="T38" i="27" s="1"/>
  <c r="AA68" i="13" s="1"/>
  <c r="J30" i="27"/>
  <c r="J38" i="27" s="1"/>
  <c r="AA64" i="13" s="1"/>
  <c r="E24" i="19"/>
  <c r="N6" i="19" s="1"/>
  <c r="N10" i="19"/>
  <c r="K27" i="14"/>
  <c r="K31" i="14"/>
  <c r="K33" i="14"/>
  <c r="K29" i="14"/>
  <c r="E12" i="19"/>
  <c r="E13" i="19" s="1"/>
  <c r="E18" i="19" s="1"/>
  <c r="J13" i="19"/>
  <c r="E16" i="13"/>
  <c r="J24" i="19"/>
  <c r="O6" i="19" s="1"/>
  <c r="J16" i="19"/>
  <c r="Q28" i="1"/>
  <c r="M28" i="1"/>
  <c r="I28" i="1"/>
  <c r="E28" i="1"/>
  <c r="O16" i="1"/>
  <c r="K16" i="1"/>
  <c r="G16" i="1"/>
  <c r="C16" i="1"/>
  <c r="K41" i="14" l="1"/>
  <c r="E30" i="5"/>
  <c r="E31" i="5" s="1"/>
  <c r="E33" i="5" s="1"/>
  <c r="D30" i="5"/>
  <c r="D31" i="5" s="1"/>
  <c r="D33" i="5" s="1"/>
  <c r="F30" i="5"/>
  <c r="F31" i="5" s="1"/>
  <c r="F33" i="5" s="1"/>
  <c r="M31" i="14"/>
  <c r="M33" i="14"/>
  <c r="M27" i="14"/>
  <c r="F113" i="13"/>
  <c r="Y7" i="13" s="1"/>
  <c r="J18" i="19"/>
  <c r="J27" i="19" s="1"/>
  <c r="O7" i="19" s="1"/>
  <c r="M29" i="14"/>
  <c r="E27" i="19"/>
  <c r="N7" i="19" s="1"/>
  <c r="N5" i="19"/>
  <c r="E4" i="19" s="1"/>
  <c r="R36" i="13" s="1"/>
  <c r="O81" i="1"/>
  <c r="K81" i="1"/>
  <c r="D34" i="5" l="1" a="1"/>
  <c r="D34" i="5" s="1"/>
  <c r="D36" i="5" s="1"/>
  <c r="F34" i="5" a="1"/>
  <c r="F34" i="5" s="1"/>
  <c r="F36" i="5" s="1"/>
  <c r="E34" i="5" a="1"/>
  <c r="E34" i="5" s="1"/>
  <c r="E36" i="5" s="1"/>
  <c r="O5" i="19"/>
  <c r="J4" i="19" s="1"/>
  <c r="D65" i="14" s="1"/>
  <c r="X65" i="1"/>
  <c r="Y65" i="1" s="1"/>
  <c r="X78" i="1"/>
  <c r="Y78" i="1" s="1"/>
  <c r="D60" i="14"/>
  <c r="C113" i="13" s="1"/>
  <c r="G37" i="1" l="1"/>
  <c r="G39" i="1" l="1"/>
  <c r="G41" i="1" s="1"/>
  <c r="J23" i="2"/>
  <c r="E23" i="2"/>
  <c r="C47" i="1" l="1"/>
  <c r="E10" i="2" l="1"/>
  <c r="J10" i="2"/>
  <c r="G45" i="1"/>
  <c r="E15" i="2" l="1"/>
  <c r="N12" i="2" l="1"/>
  <c r="N10" i="2"/>
  <c r="N11" i="2"/>
  <c r="AA34" i="13" l="1"/>
  <c r="D66" i="14" s="1"/>
  <c r="D63" i="14" s="1"/>
  <c r="G81" i="1"/>
  <c r="E16" i="4"/>
  <c r="F16" i="4"/>
  <c r="G16" i="4"/>
  <c r="H16" i="4"/>
  <c r="I16" i="4"/>
  <c r="J16" i="4"/>
  <c r="K16" i="4"/>
  <c r="L16" i="4"/>
  <c r="M16" i="4"/>
  <c r="D16" i="4"/>
  <c r="D20" i="4"/>
  <c r="E20" i="4" s="1"/>
  <c r="E16" i="2"/>
  <c r="J12" i="2"/>
  <c r="J13" i="2" s="1"/>
  <c r="E12" i="2"/>
  <c r="E13" i="2" s="1"/>
  <c r="X59" i="1"/>
  <c r="Y59" i="1" l="1"/>
  <c r="Z59" i="1" s="1"/>
  <c r="F63" i="14"/>
  <c r="J113" i="13"/>
  <c r="Y9" i="13" s="1"/>
  <c r="D64" i="14"/>
  <c r="P113" i="13" s="1"/>
  <c r="C81" i="1"/>
  <c r="E24" i="2"/>
  <c r="N6" i="2" s="1"/>
  <c r="C84" i="1"/>
  <c r="X75" i="1"/>
  <c r="Y75" i="1" s="1"/>
  <c r="X77" i="1"/>
  <c r="Y77" i="1" s="1"/>
  <c r="X69" i="1"/>
  <c r="Y69" i="1" s="1"/>
  <c r="E18" i="2"/>
  <c r="C30" i="5"/>
  <c r="C31" i="5" s="1"/>
  <c r="C33" i="5" s="1"/>
  <c r="C34" i="5" l="1" a="1"/>
  <c r="C34" i="5" s="1"/>
  <c r="Z69" i="1"/>
  <c r="Z78" i="1"/>
  <c r="Z77" i="1"/>
  <c r="Z65" i="1"/>
  <c r="Z75" i="1"/>
  <c r="E27" i="2"/>
  <c r="N7" i="2" s="1"/>
  <c r="J15" i="2"/>
  <c r="C89" i="1" s="1"/>
  <c r="N5" i="2"/>
  <c r="C36" i="5" l="1"/>
  <c r="X61" i="1" s="1"/>
  <c r="C87" i="1"/>
  <c r="J16" i="2"/>
  <c r="J18" i="2" s="1"/>
  <c r="J24" i="2"/>
  <c r="O6" i="2" s="1"/>
  <c r="E4" i="2"/>
  <c r="Y61" i="1" l="1"/>
  <c r="Z61" i="1" s="1"/>
  <c r="X81" i="1"/>
  <c r="X85" i="1" s="1"/>
  <c r="C85" i="1"/>
  <c r="C86" i="1" s="1"/>
  <c r="O5" i="2"/>
  <c r="J27" i="2"/>
  <c r="O7" i="2" s="1"/>
  <c r="C92" i="1" s="1"/>
  <c r="J4" i="2" l="1"/>
  <c r="X90" i="1" l="1"/>
  <c r="C90" i="1"/>
  <c r="X91" i="1" l="1"/>
  <c r="Z90" i="1"/>
  <c r="E120" i="1" s="1"/>
  <c r="G89" i="1"/>
  <c r="C91"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<sst xmlns="http://schemas.openxmlformats.org/spreadsheetml/2006/main" count="1258" uniqueCount="681">
  <si>
    <t>AB</t>
  </si>
  <si>
    <t>AL</t>
  </si>
  <si>
    <t>BA</t>
  </si>
  <si>
    <t>BB</t>
  </si>
  <si>
    <t>BD</t>
  </si>
  <si>
    <t>BH</t>
  </si>
  <si>
    <t>BL</t>
  </si>
  <si>
    <t>BN</t>
  </si>
  <si>
    <t>BR</t>
  </si>
  <si>
    <t>BS</t>
  </si>
  <si>
    <t>CA</t>
  </si>
  <si>
    <t>CB</t>
  </si>
  <si>
    <t>CF</t>
  </si>
  <si>
    <t>CH</t>
  </si>
  <si>
    <t>CM</t>
  </si>
  <si>
    <t>CO</t>
  </si>
  <si>
    <t>CR</t>
  </si>
  <si>
    <t>CT</t>
  </si>
  <si>
    <t>CV</t>
  </si>
  <si>
    <t>CW</t>
  </si>
  <si>
    <t>DA</t>
  </si>
  <si>
    <t>DD</t>
  </si>
  <si>
    <t>DE</t>
  </si>
  <si>
    <t>DG</t>
  </si>
  <si>
    <t>DH</t>
  </si>
  <si>
    <t>DL</t>
  </si>
  <si>
    <t>DN</t>
  </si>
  <si>
    <t>DT</t>
  </si>
  <si>
    <t>DY</t>
  </si>
  <si>
    <t>EC</t>
  </si>
  <si>
    <t>EH</t>
  </si>
  <si>
    <t>EN</t>
  </si>
  <si>
    <t>EX</t>
  </si>
  <si>
    <t>FK</t>
  </si>
  <si>
    <t>FY</t>
  </si>
  <si>
    <t>GL</t>
  </si>
  <si>
    <t>GU</t>
  </si>
  <si>
    <t>HA</t>
  </si>
  <si>
    <t>HD</t>
  </si>
  <si>
    <t>HG</t>
  </si>
  <si>
    <t>HP</t>
  </si>
  <si>
    <t>HR</t>
  </si>
  <si>
    <t>HS</t>
  </si>
  <si>
    <t>HU</t>
  </si>
  <si>
    <t>HX</t>
  </si>
  <si>
    <t>IG</t>
  </si>
  <si>
    <t>IP</t>
  </si>
  <si>
    <t>IV</t>
  </si>
  <si>
    <t>KA</t>
  </si>
  <si>
    <t>KT</t>
  </si>
  <si>
    <t>KW</t>
  </si>
  <si>
    <t>KY</t>
  </si>
  <si>
    <t>LA</t>
  </si>
  <si>
    <t>LD</t>
  </si>
  <si>
    <t>LE</t>
  </si>
  <si>
    <t>LL</t>
  </si>
  <si>
    <t>LN</t>
  </si>
  <si>
    <t>LS</t>
  </si>
  <si>
    <t>LU</t>
  </si>
  <si>
    <t>M</t>
  </si>
  <si>
    <t>ME</t>
  </si>
  <si>
    <t>MK</t>
  </si>
  <si>
    <t>ML</t>
  </si>
  <si>
    <t>NE</t>
  </si>
  <si>
    <t>NG</t>
  </si>
  <si>
    <t>NN</t>
  </si>
  <si>
    <t>NP</t>
  </si>
  <si>
    <t>NR</t>
  </si>
  <si>
    <t>NW</t>
  </si>
  <si>
    <t>OL</t>
  </si>
  <si>
    <t>OX</t>
  </si>
  <si>
    <t>PA</t>
  </si>
  <si>
    <t>PE</t>
  </si>
  <si>
    <t>PH</t>
  </si>
  <si>
    <t>PL</t>
  </si>
  <si>
    <t>PO</t>
  </si>
  <si>
    <t>PR</t>
  </si>
  <si>
    <t>RG</t>
  </si>
  <si>
    <t>RH</t>
  </si>
  <si>
    <t>RM</t>
  </si>
  <si>
    <t>SA</t>
  </si>
  <si>
    <t>SE</t>
  </si>
  <si>
    <t>SG</t>
  </si>
  <si>
    <t>SK</t>
  </si>
  <si>
    <t>SL</t>
  </si>
  <si>
    <t>SM</t>
  </si>
  <si>
    <t>SN</t>
  </si>
  <si>
    <t>SO</t>
  </si>
  <si>
    <t>SP</t>
  </si>
  <si>
    <t>SR</t>
  </si>
  <si>
    <t>SS</t>
  </si>
  <si>
    <t>ST</t>
  </si>
  <si>
    <t>SW</t>
  </si>
  <si>
    <t>SY</t>
  </si>
  <si>
    <t>TA</t>
  </si>
  <si>
    <t>TD</t>
  </si>
  <si>
    <t>TF</t>
  </si>
  <si>
    <t>TN</t>
  </si>
  <si>
    <t>TQ</t>
  </si>
  <si>
    <t>TR</t>
  </si>
  <si>
    <t>TS</t>
  </si>
  <si>
    <t>TW</t>
  </si>
  <si>
    <t>UB</t>
  </si>
  <si>
    <t>WA</t>
  </si>
  <si>
    <t>WC</t>
  </si>
  <si>
    <t>WD</t>
  </si>
  <si>
    <t>WF</t>
  </si>
  <si>
    <t>WN</t>
  </si>
  <si>
    <t>WR</t>
  </si>
  <si>
    <t>WS</t>
  </si>
  <si>
    <t>WV</t>
  </si>
  <si>
    <t>YO</t>
  </si>
  <si>
    <t>ZE</t>
  </si>
  <si>
    <t>London</t>
  </si>
  <si>
    <t>South East</t>
  </si>
  <si>
    <t>South West</t>
  </si>
  <si>
    <t>East Midlands</t>
  </si>
  <si>
    <t>West Midlands</t>
  </si>
  <si>
    <t>Yorkshire &amp; the Humber</t>
  </si>
  <si>
    <t>North East</t>
  </si>
  <si>
    <t>North West</t>
  </si>
  <si>
    <t>Wales</t>
  </si>
  <si>
    <t>Scotland</t>
  </si>
  <si>
    <t>Region</t>
  </si>
  <si>
    <t>ONS Table A33/A35 Monthly expenditure</t>
  </si>
  <si>
    <t>East</t>
  </si>
  <si>
    <t>Food &amp; non-alcoholic drinks</t>
  </si>
  <si>
    <t>Clothing &amp; footwear</t>
  </si>
  <si>
    <t>Household goods &amp; services</t>
  </si>
  <si>
    <t>Health</t>
  </si>
  <si>
    <t>Housing (net), fuel &amp; power</t>
  </si>
  <si>
    <t>Communication</t>
  </si>
  <si>
    <t>Transport</t>
  </si>
  <si>
    <t>Education</t>
  </si>
  <si>
    <t>Total Monthy Household Expenditure</t>
  </si>
  <si>
    <t>Travel</t>
  </si>
  <si>
    <t>Name of Applicant</t>
  </si>
  <si>
    <t>Account number</t>
  </si>
  <si>
    <t>Date</t>
  </si>
  <si>
    <t>Applicant 1</t>
  </si>
  <si>
    <t>Applicant 2</t>
  </si>
  <si>
    <t>Child commitments</t>
  </si>
  <si>
    <t>Property commitments:</t>
  </si>
  <si>
    <t>Water</t>
  </si>
  <si>
    <t>Building and contents insurance</t>
  </si>
  <si>
    <t>Ground rent</t>
  </si>
  <si>
    <t>Property costs (repairs and maintenance)</t>
  </si>
  <si>
    <t>Telephone/Mobile/TV packages</t>
  </si>
  <si>
    <t>Other</t>
  </si>
  <si>
    <t>Petrol</t>
  </si>
  <si>
    <t>Vehicle costs/MOT/servicing etc</t>
  </si>
  <si>
    <t>Car insurance</t>
  </si>
  <si>
    <t>Other (including public transport/season tickets and taxis)</t>
  </si>
  <si>
    <t>Food and living costs</t>
  </si>
  <si>
    <t>Grocery shopping</t>
  </si>
  <si>
    <t>Regular social activities</t>
  </si>
  <si>
    <t>clothing/footwear</t>
  </si>
  <si>
    <t>Other (luxury/holidays/hobbies etc)</t>
  </si>
  <si>
    <t>Postcode</t>
  </si>
  <si>
    <t>Monthly expenditure</t>
  </si>
  <si>
    <t>Gas/electrics</t>
  </si>
  <si>
    <t>Council tax</t>
  </si>
  <si>
    <t>Net free pay</t>
  </si>
  <si>
    <t>Mortgage required</t>
  </si>
  <si>
    <t>Number of years</t>
  </si>
  <si>
    <t>capital repayment</t>
  </si>
  <si>
    <t>interest only</t>
  </si>
  <si>
    <t>Monthly repayment</t>
  </si>
  <si>
    <t>Capital Repayment</t>
  </si>
  <si>
    <t>Interest only</t>
  </si>
  <si>
    <t>Part capital repayment/Part interest only</t>
  </si>
  <si>
    <t>Mortgage amount</t>
  </si>
  <si>
    <t>Term</t>
  </si>
  <si>
    <t>Years</t>
  </si>
  <si>
    <t>Months</t>
  </si>
  <si>
    <t>Interest Rate (APR)</t>
  </si>
  <si>
    <t>%</t>
  </si>
  <si>
    <t>monthly</t>
  </si>
  <si>
    <t>Monthly Payments</t>
  </si>
  <si>
    <t>Part and part</t>
  </si>
  <si>
    <t>Less than 5 years</t>
  </si>
  <si>
    <t>5 years</t>
  </si>
  <si>
    <t>Lifetime</t>
  </si>
  <si>
    <t>Net free pay stressed</t>
  </si>
  <si>
    <t>Affordability Assessment Sheet</t>
  </si>
  <si>
    <t>no stress required</t>
  </si>
  <si>
    <t>Notes to reviewer</t>
  </si>
  <si>
    <t>B1</t>
  </si>
  <si>
    <t>B2</t>
  </si>
  <si>
    <t>B3</t>
  </si>
  <si>
    <t>B4</t>
  </si>
  <si>
    <t>B5</t>
  </si>
  <si>
    <t>B6</t>
  </si>
  <si>
    <t>B7</t>
  </si>
  <si>
    <t>B8</t>
  </si>
  <si>
    <t>B9</t>
  </si>
  <si>
    <t>E1</t>
  </si>
  <si>
    <t>E2</t>
  </si>
  <si>
    <t>E3</t>
  </si>
  <si>
    <t>E4</t>
  </si>
  <si>
    <t>E5</t>
  </si>
  <si>
    <t>E6</t>
  </si>
  <si>
    <t>E7</t>
  </si>
  <si>
    <t>E8</t>
  </si>
  <si>
    <t>E9</t>
  </si>
  <si>
    <t>G1</t>
  </si>
  <si>
    <t>G2</t>
  </si>
  <si>
    <t>G3</t>
  </si>
  <si>
    <t>G4</t>
  </si>
  <si>
    <t>G5</t>
  </si>
  <si>
    <t>G6</t>
  </si>
  <si>
    <t>G7</t>
  </si>
  <si>
    <t>G8</t>
  </si>
  <si>
    <t>G9</t>
  </si>
  <si>
    <t>L1</t>
  </si>
  <si>
    <t>L2</t>
  </si>
  <si>
    <t>L3</t>
  </si>
  <si>
    <t>L4</t>
  </si>
  <si>
    <t>L5</t>
  </si>
  <si>
    <t>L6</t>
  </si>
  <si>
    <t>L7</t>
  </si>
  <si>
    <t>L8</t>
  </si>
  <si>
    <t>L9</t>
  </si>
  <si>
    <t>M1</t>
  </si>
  <si>
    <t>M2</t>
  </si>
  <si>
    <t>M3</t>
  </si>
  <si>
    <t>M4</t>
  </si>
  <si>
    <t>M5</t>
  </si>
  <si>
    <t>M6</t>
  </si>
  <si>
    <t>M7</t>
  </si>
  <si>
    <t>M8</t>
  </si>
  <si>
    <t>M9</t>
  </si>
  <si>
    <t>N1</t>
  </si>
  <si>
    <t>N2</t>
  </si>
  <si>
    <t>N3</t>
  </si>
  <si>
    <t>N4</t>
  </si>
  <si>
    <t>N5</t>
  </si>
  <si>
    <t>N6</t>
  </si>
  <si>
    <t>N7</t>
  </si>
  <si>
    <t>N8</t>
  </si>
  <si>
    <t>N9</t>
  </si>
  <si>
    <t>S1</t>
  </si>
  <si>
    <t>S2</t>
  </si>
  <si>
    <t>S3</t>
  </si>
  <si>
    <t>S4</t>
  </si>
  <si>
    <t>S5</t>
  </si>
  <si>
    <t>S6</t>
  </si>
  <si>
    <t>S7</t>
  </si>
  <si>
    <t>S8</t>
  </si>
  <si>
    <t>S9</t>
  </si>
  <si>
    <t>W1</t>
  </si>
  <si>
    <t>W2</t>
  </si>
  <si>
    <t>W3</t>
  </si>
  <si>
    <t>W4</t>
  </si>
  <si>
    <t>W5</t>
  </si>
  <si>
    <t>W6</t>
  </si>
  <si>
    <t>W7</t>
  </si>
  <si>
    <t>W8</t>
  </si>
  <si>
    <t>W9</t>
  </si>
  <si>
    <t>Monthly Loan Payments</t>
  </si>
  <si>
    <t>TOTAL credit card outstanding</t>
  </si>
  <si>
    <t>STANDARD RATE</t>
  </si>
  <si>
    <t>STRESSED RATE</t>
  </si>
  <si>
    <t>Interest only mortgage amount</t>
  </si>
  <si>
    <t>Band D</t>
  </si>
  <si>
    <t>Grand Total</t>
  </si>
  <si>
    <t>POSTCODE</t>
  </si>
  <si>
    <t>REGION</t>
  </si>
  <si>
    <t>Count of REGION</t>
  </si>
  <si>
    <t>Total</t>
  </si>
  <si>
    <t>http://www.thegrowersshop.co.uk/delivery-terms</t>
  </si>
  <si>
    <t>D</t>
  </si>
  <si>
    <t>LONDON</t>
  </si>
  <si>
    <t>Annual</t>
  </si>
  <si>
    <t>Council tax band if known</t>
  </si>
  <si>
    <t>Region selected</t>
  </si>
  <si>
    <t>Band selected</t>
  </si>
  <si>
    <t>Council tax discount available</t>
  </si>
  <si>
    <t>Date of birth</t>
  </si>
  <si>
    <t xml:space="preserve">Authorised by </t>
  </si>
  <si>
    <t>Verified Gross Income</t>
  </si>
  <si>
    <t>Verified (monthly) Net Income</t>
  </si>
  <si>
    <t>Checklist</t>
  </si>
  <si>
    <t>Payslips checked to bank statement</t>
  </si>
  <si>
    <t>Correct income figured used</t>
  </si>
  <si>
    <t>Number of occupiers checked</t>
  </si>
  <si>
    <t>Commitments check to equifax</t>
  </si>
  <si>
    <t>Checked and Verified by</t>
  </si>
  <si>
    <t>Actual interest rate</t>
  </si>
  <si>
    <t>Stressed interest rate</t>
  </si>
  <si>
    <t>ONS</t>
  </si>
  <si>
    <t>Mortgage payment</t>
  </si>
  <si>
    <t>% net free pay</t>
  </si>
  <si>
    <t>% net stressed free pay</t>
  </si>
  <si>
    <t>East England</t>
  </si>
  <si>
    <t>Table A33</t>
  </si>
  <si>
    <t>Household expenditure by countries and regions</t>
  </si>
  <si>
    <t>UK, financial year ending 2014 to financial year ending 2016</t>
  </si>
  <si>
    <t>Credit card at 3%</t>
  </si>
  <si>
    <t>Household</t>
  </si>
  <si>
    <t>Weighting</t>
  </si>
  <si>
    <t>One adult</t>
  </si>
  <si>
    <t>Two Adults</t>
  </si>
  <si>
    <t>One adult one child</t>
  </si>
  <si>
    <t>One adult two or more children</t>
  </si>
  <si>
    <t>Two Adults one child</t>
  </si>
  <si>
    <t>Two adults two children</t>
  </si>
  <si>
    <t>Two adults three or more children</t>
  </si>
  <si>
    <t>Three or more adults without children</t>
  </si>
  <si>
    <t>Three or more adults with children</t>
  </si>
  <si>
    <t>Miscellaneous goods and services</t>
  </si>
  <si>
    <t xml:space="preserve">Product rate </t>
  </si>
  <si>
    <t>Product rate checked</t>
  </si>
  <si>
    <t>Max Loan Check</t>
  </si>
  <si>
    <t>Repayment Type Check</t>
  </si>
  <si>
    <t>Child Coms:</t>
  </si>
  <si>
    <t>Council Tax</t>
  </si>
  <si>
    <t>Telephone etc</t>
  </si>
  <si>
    <t>Total Travel</t>
  </si>
  <si>
    <t xml:space="preserve">Grocery </t>
  </si>
  <si>
    <t>Other etc</t>
  </si>
  <si>
    <t>ONS Stressed Net Free Pay</t>
  </si>
  <si>
    <t>% Net Stressed Free Pay</t>
  </si>
  <si>
    <t>ONS Net Free Pay</t>
  </si>
  <si>
    <t>Actual as % of ONS</t>
  </si>
  <si>
    <t>Not Included</t>
  </si>
  <si>
    <t>Review if under or equal to 105% of ONS</t>
  </si>
  <si>
    <t>ONS Figures</t>
  </si>
  <si>
    <t>Actuals Used</t>
  </si>
  <si>
    <t>Social activities</t>
  </si>
  <si>
    <t>Clothing/footwear</t>
  </si>
  <si>
    <t>Property Value</t>
  </si>
  <si>
    <t>LTV</t>
  </si>
  <si>
    <t>Loan sizes</t>
  </si>
  <si>
    <t>LTV limit</t>
  </si>
  <si>
    <t>Advance Limit</t>
  </si>
  <si>
    <t>Totals (ONS + Loans)</t>
  </si>
  <si>
    <t>Part capital (£)</t>
  </si>
  <si>
    <t>Part interest only (£)</t>
  </si>
  <si>
    <t>LTI</t>
  </si>
  <si>
    <t>MAXIMUM LOAN (Using Income)</t>
  </si>
  <si>
    <t>Change History</t>
  </si>
  <si>
    <t>Version Number</t>
  </si>
  <si>
    <t>Added MPI Exclusive Criteria regarding LTI's and Max Loans</t>
  </si>
  <si>
    <t>Updated ONS/ Stress Rates</t>
  </si>
  <si>
    <t>Wording Row 19 "Does lending criteria allow higher income multiples to be used?"; Wales council tax aligned with grand total row</t>
  </si>
  <si>
    <t>LTI and advance limits adjusted</t>
  </si>
  <si>
    <t>Updated Stress Rates</t>
  </si>
  <si>
    <t>Council tax %</t>
  </si>
  <si>
    <t>Children (1= yes)</t>
  </si>
  <si>
    <t>Professionals change; Stress rates; ONS</t>
  </si>
  <si>
    <t>Changed stress from +3% to +1%</t>
  </si>
  <si>
    <t>Yes</t>
  </si>
  <si>
    <t>Applicant 3</t>
  </si>
  <si>
    <t>Applicant 4</t>
  </si>
  <si>
    <t>Households being maintained</t>
  </si>
  <si>
    <t>Number of applicants</t>
  </si>
  <si>
    <t>ONS Weighting</t>
  </si>
  <si>
    <t>No</t>
  </si>
  <si>
    <t>Removed transitional rules, basic rate tax payer now at 125% and higher of either 2% above payrate or 5.5%</t>
  </si>
  <si>
    <t>Changed stress from +3% to +1%, added self build fields</t>
  </si>
  <si>
    <t>Updated stress rates</t>
  </si>
  <si>
    <t xml:space="preserve">Updated product drop down, updated for income flex and LTI criteria, and wording per EC's email </t>
  </si>
  <si>
    <t>Updated product drop down</t>
  </si>
  <si>
    <t>Updated stress rates, reversed NI change</t>
  </si>
  <si>
    <t>Monthly payment shown on OO sheet is now unstressed</t>
  </si>
  <si>
    <t>Updated ONS, Stress Rates</t>
  </si>
  <si>
    <t>Updated NI</t>
  </si>
  <si>
    <t>Added professional LTI</t>
  </si>
  <si>
    <t>LTI Updates</t>
  </si>
  <si>
    <t>Added Pillars</t>
  </si>
  <si>
    <t>Combined calculators and added additional fields</t>
  </si>
  <si>
    <t>Added product range drop down boxes</t>
  </si>
  <si>
    <t xml:space="preserve">Updated the downsizing feasibility table </t>
  </si>
  <si>
    <t>Updated ONS, Stress Rates, NI Thresholds</t>
  </si>
  <si>
    <t>Next Time Buyer</t>
  </si>
  <si>
    <t>FTB - parents</t>
  </si>
  <si>
    <t>FTB - renting</t>
  </si>
  <si>
    <t>Sale of investment property</t>
  </si>
  <si>
    <t>Remortgage</t>
  </si>
  <si>
    <t>Downsizing</t>
  </si>
  <si>
    <t>Date:</t>
  </si>
  <si>
    <t>Result:</t>
  </si>
  <si>
    <t>Comments from committee</t>
  </si>
  <si>
    <t>Total other mortgage balance outstanding £</t>
  </si>
  <si>
    <t>Other info</t>
  </si>
  <si>
    <t>Loans total outstanding £</t>
  </si>
  <si>
    <t>Credit card &amp; Overdraft total outstanding £</t>
  </si>
  <si>
    <t>DTI:</t>
  </si>
  <si>
    <t>Net Free pay Pass/Fail</t>
  </si>
  <si>
    <t>Net free pay £</t>
  </si>
  <si>
    <t>LTI:</t>
  </si>
  <si>
    <t>Max loan £</t>
  </si>
  <si>
    <t>Other Expenditure £</t>
  </si>
  <si>
    <t>Service Charge &amp; ground rent £</t>
  </si>
  <si>
    <t>Child Commitments £</t>
  </si>
  <si>
    <t>Maintenance, Loans &amp; HP per month £</t>
  </si>
  <si>
    <t>App 4</t>
  </si>
  <si>
    <t>App 3</t>
  </si>
  <si>
    <t>App 2</t>
  </si>
  <si>
    <t xml:space="preserve">App 1 </t>
  </si>
  <si>
    <t>Credit</t>
  </si>
  <si>
    <t>Total Rental £</t>
  </si>
  <si>
    <t>Monthly Payment £</t>
  </si>
  <si>
    <t>Overall LTV:</t>
  </si>
  <si>
    <t>Balances £</t>
  </si>
  <si>
    <t>Total Value £</t>
  </si>
  <si>
    <t>Number of BTLs:</t>
  </si>
  <si>
    <t>BTL</t>
  </si>
  <si>
    <t>Net</t>
  </si>
  <si>
    <t>Details:</t>
  </si>
  <si>
    <t>App 4 annual £</t>
  </si>
  <si>
    <t>App 3 annual £</t>
  </si>
  <si>
    <t>App 2 annual £</t>
  </si>
  <si>
    <t>App 1 annual £</t>
  </si>
  <si>
    <t>Notes:</t>
  </si>
  <si>
    <t>Average £</t>
  </si>
  <si>
    <t>£</t>
  </si>
  <si>
    <t>Land Prop £</t>
  </si>
  <si>
    <t>Dividends/Net Profit £</t>
  </si>
  <si>
    <r>
      <t>App</t>
    </r>
    <r>
      <rPr>
        <b/>
        <sz val="11"/>
        <rFont val="Calibri"/>
        <family val="2"/>
      </rPr>
      <t xml:space="preserve"> 4 </t>
    </r>
    <r>
      <rPr>
        <sz val="11"/>
        <rFont val="Calibri"/>
        <family val="2"/>
        <scheme val="minor"/>
      </rPr>
      <t>Net Pay £</t>
    </r>
  </si>
  <si>
    <t>Salary £</t>
  </si>
  <si>
    <r>
      <t>App</t>
    </r>
    <r>
      <rPr>
        <b/>
        <sz val="11"/>
        <rFont val="Calibri"/>
        <family val="2"/>
      </rPr>
      <t xml:space="preserve"> 3 </t>
    </r>
    <r>
      <rPr>
        <sz val="11"/>
        <rFont val="Calibri"/>
        <family val="2"/>
        <scheme val="minor"/>
      </rPr>
      <t>Net Pay £</t>
    </r>
  </si>
  <si>
    <r>
      <t>App</t>
    </r>
    <r>
      <rPr>
        <b/>
        <sz val="11"/>
        <rFont val="Calibri"/>
        <family val="2"/>
      </rPr>
      <t xml:space="preserve"> 2 </t>
    </r>
    <r>
      <rPr>
        <sz val="11"/>
        <rFont val="Calibri"/>
        <family val="2"/>
        <scheme val="minor"/>
      </rPr>
      <t>Net Pay £</t>
    </r>
  </si>
  <si>
    <r>
      <t>App</t>
    </r>
    <r>
      <rPr>
        <b/>
        <sz val="11"/>
        <rFont val="Calibri"/>
        <family val="2"/>
      </rPr>
      <t xml:space="preserve"> 1</t>
    </r>
    <r>
      <rPr>
        <sz val="11"/>
        <rFont val="Calibri"/>
        <family val="2"/>
        <scheme val="minor"/>
      </rPr>
      <t xml:space="preserve"> Net Pay £</t>
    </r>
  </si>
  <si>
    <t>Use tax calculator or figure provided by broker</t>
  </si>
  <si>
    <t>Year ending:</t>
  </si>
  <si>
    <t>Type of Business(es):</t>
  </si>
  <si>
    <t>Self Employed</t>
  </si>
  <si>
    <t>Overtime, Bonuses &amp; Commission £</t>
  </si>
  <si>
    <t>100% allowances £</t>
  </si>
  <si>
    <t>Basic £</t>
  </si>
  <si>
    <t>Mths</t>
  </si>
  <si>
    <t>Yrs</t>
  </si>
  <si>
    <t>Time in role:</t>
  </si>
  <si>
    <t>Title:</t>
  </si>
  <si>
    <t>Employed</t>
  </si>
  <si>
    <t>Deposit:</t>
  </si>
  <si>
    <t>Reason:</t>
  </si>
  <si>
    <t>Capital Raising £</t>
  </si>
  <si>
    <t>Pay rate:</t>
  </si>
  <si>
    <t>Product:</t>
  </si>
  <si>
    <t>Type:</t>
  </si>
  <si>
    <t>MRV:</t>
  </si>
  <si>
    <t>Interest £</t>
  </si>
  <si>
    <t>Repayment £</t>
  </si>
  <si>
    <t>Monthly Payment:</t>
  </si>
  <si>
    <t>Value £</t>
  </si>
  <si>
    <t>Loan £</t>
  </si>
  <si>
    <t>Loan</t>
  </si>
  <si>
    <t>Total ONS</t>
  </si>
  <si>
    <t>Occupants:</t>
  </si>
  <si>
    <t>4th Household</t>
  </si>
  <si>
    <t>Region if not known:</t>
  </si>
  <si>
    <t>3rd Household</t>
  </si>
  <si>
    <t>Postcode:</t>
  </si>
  <si>
    <t>2nd Household</t>
  </si>
  <si>
    <t>Property 4</t>
  </si>
  <si>
    <t>Property 3</t>
  </si>
  <si>
    <t>Property 2</t>
  </si>
  <si>
    <t>Subject Property</t>
  </si>
  <si>
    <t>1st Household</t>
  </si>
  <si>
    <t>Households being maintained:</t>
  </si>
  <si>
    <t>Households</t>
  </si>
  <si>
    <t>Consess Purchase:</t>
  </si>
  <si>
    <t>Property Type:</t>
  </si>
  <si>
    <t>Ground Rent RPI:</t>
  </si>
  <si>
    <t>Management company:</t>
  </si>
  <si>
    <t>yrs</t>
  </si>
  <si>
    <t>Lease:</t>
  </si>
  <si>
    <t>Floor:</t>
  </si>
  <si>
    <t>Storeys:</t>
  </si>
  <si>
    <t>Property</t>
  </si>
  <si>
    <t>Credit Policy:</t>
  </si>
  <si>
    <t>Connection:</t>
  </si>
  <si>
    <t>Split:</t>
  </si>
  <si>
    <t>Term:</t>
  </si>
  <si>
    <t>Age:</t>
  </si>
  <si>
    <t>Surnames:</t>
  </si>
  <si>
    <t>Apps</t>
  </si>
  <si>
    <t>Case Owner:</t>
  </si>
  <si>
    <t>Company:</t>
  </si>
  <si>
    <t>Broker Name:</t>
  </si>
  <si>
    <t>Intro</t>
  </si>
  <si>
    <t>Re-Referral Reason:</t>
  </si>
  <si>
    <t>Build length:</t>
  </si>
  <si>
    <t>LTV:</t>
  </si>
  <si>
    <t>Loan to Cost:</t>
  </si>
  <si>
    <t>Customer Contribution:</t>
  </si>
  <si>
    <t>Build Costs:</t>
  </si>
  <si>
    <t>PP/land value:</t>
  </si>
  <si>
    <t>Loan required:</t>
  </si>
  <si>
    <t>Self Build Only</t>
  </si>
  <si>
    <t>Prop:</t>
  </si>
  <si>
    <t>Afford:</t>
  </si>
  <si>
    <t>Credit:</t>
  </si>
  <si>
    <t>Pillars</t>
  </si>
  <si>
    <t>Reason for referral /area of non-compliance:</t>
  </si>
  <si>
    <t>Product Range:</t>
  </si>
  <si>
    <t>Owner Occupier Referral Form</t>
  </si>
  <si>
    <t>ONS for area</t>
  </si>
  <si>
    <t>MAXIMUM LOAN</t>
  </si>
  <si>
    <t xml:space="preserve">Other Expenditure </t>
  </si>
  <si>
    <t>Ground rent/Service charge</t>
  </si>
  <si>
    <t>Pension</t>
  </si>
  <si>
    <t>Student Loans</t>
  </si>
  <si>
    <t>Monthly payment of other mortgages</t>
  </si>
  <si>
    <t>Child Costs</t>
  </si>
  <si>
    <t xml:space="preserve">TOTAL overdraft, store &amp; credit card balances outstanding  </t>
  </si>
  <si>
    <t>Income for multiple</t>
  </si>
  <si>
    <t>Monthly Loan/HP/Lease Payments</t>
  </si>
  <si>
    <t>done at 50%</t>
  </si>
  <si>
    <t>Expenditure</t>
  </si>
  <si>
    <t>Acceptable other income</t>
  </si>
  <si>
    <t>APP4</t>
  </si>
  <si>
    <t>Retired -Annual Gross Pension</t>
  </si>
  <si>
    <t>APP3</t>
  </si>
  <si>
    <t>LTD Company Gross Dividend + land prop</t>
  </si>
  <si>
    <t>APP2</t>
  </si>
  <si>
    <t>LTD Company Directors Remuneration</t>
  </si>
  <si>
    <t>APP1</t>
  </si>
  <si>
    <t>Sole Trader/Partnership Net Profit</t>
  </si>
  <si>
    <t>Acceptable other - Employed</t>
  </si>
  <si>
    <t>Car, Shift &amp; Large Town Allowance</t>
  </si>
  <si>
    <t>Basic Gross Salary</t>
  </si>
  <si>
    <t>area for calculation</t>
  </si>
  <si>
    <t>Income</t>
  </si>
  <si>
    <t>Product pay rate</t>
  </si>
  <si>
    <r>
      <t>Product length</t>
    </r>
    <r>
      <rPr>
        <b/>
        <i/>
        <sz val="9"/>
        <color indexed="8"/>
        <rFont val="Calibri"/>
        <family val="2"/>
      </rPr>
      <t xml:space="preserve"> </t>
    </r>
    <r>
      <rPr>
        <b/>
        <i/>
        <sz val="9"/>
        <color indexed="8"/>
        <rFont val="Calibri"/>
        <family val="2"/>
      </rPr>
      <t>(select from list)</t>
    </r>
  </si>
  <si>
    <t>Interest Only Amount</t>
  </si>
  <si>
    <t>Capital Repayment Amount</t>
  </si>
  <si>
    <r>
      <t>Repayment type</t>
    </r>
    <r>
      <rPr>
        <b/>
        <i/>
        <sz val="9"/>
        <color indexed="8"/>
        <rFont val="Calibri"/>
        <family val="2"/>
      </rPr>
      <t xml:space="preserve"> </t>
    </r>
    <r>
      <rPr>
        <b/>
        <i/>
        <sz val="9"/>
        <color indexed="8"/>
        <rFont val="Calibri"/>
        <family val="2"/>
      </rPr>
      <t>(select from list)</t>
    </r>
  </si>
  <si>
    <t>Mortgage Term in Years</t>
  </si>
  <si>
    <t>Loan requirements</t>
  </si>
  <si>
    <t>Affordability Calculator</t>
  </si>
  <si>
    <t xml:space="preserve">Self Build (Advance - Large Loans £750k+) </t>
  </si>
  <si>
    <t xml:space="preserve">Self Build (Arrears - Large Loans £750k+) </t>
  </si>
  <si>
    <t>Custom Build (Advance)</t>
  </si>
  <si>
    <t>Custom Build (Arrears)</t>
  </si>
  <si>
    <t>Self Build (Advance)</t>
  </si>
  <si>
    <t>Self Build (Arrears)</t>
  </si>
  <si>
    <t>Green Further Advance</t>
  </si>
  <si>
    <t>LTD Company</t>
  </si>
  <si>
    <t>Ex-Pat</t>
  </si>
  <si>
    <t>BTL Top Slicing</t>
  </si>
  <si>
    <t>BTL Non Owner</t>
  </si>
  <si>
    <t>BTL JBSP</t>
  </si>
  <si>
    <t>Income Flex</t>
  </si>
  <si>
    <t>JBSP</t>
  </si>
  <si>
    <t>BTL Specialist (MRC Referral)</t>
  </si>
  <si>
    <t>Specialist Resi (MRC Referral)</t>
  </si>
  <si>
    <t>Credit Flex</t>
  </si>
  <si>
    <t>Standard BTL (No MRC)</t>
  </si>
  <si>
    <t>Standard Resi (No MRC)</t>
  </si>
  <si>
    <t>Self-Build</t>
  </si>
  <si>
    <t>Other (all 2 &amp; 3 year products)</t>
  </si>
  <si>
    <t>Lifetime Discount/Tracker</t>
  </si>
  <si>
    <t>5 year Fixed</t>
  </si>
  <si>
    <t>Interest Only</t>
  </si>
  <si>
    <t>Stressed</t>
  </si>
  <si>
    <t>Standard</t>
  </si>
  <si>
    <t>Higher Rate</t>
  </si>
  <si>
    <t>Enquiry</t>
  </si>
  <si>
    <t>Combined calculators</t>
  </si>
  <si>
    <t>House 1</t>
  </si>
  <si>
    <t>House 2</t>
  </si>
  <si>
    <t>House 3</t>
  </si>
  <si>
    <t>House 4</t>
  </si>
  <si>
    <t>Grand Total ONS Figures</t>
  </si>
  <si>
    <t>DTI</t>
  </si>
  <si>
    <t>H1</t>
  </si>
  <si>
    <t>H2</t>
  </si>
  <si>
    <t>H3</t>
  </si>
  <si>
    <t>H4</t>
  </si>
  <si>
    <t>Property Excl. 3,7,8</t>
  </si>
  <si>
    <t>Totals</t>
  </si>
  <si>
    <t>Max LTI Applicable</t>
  </si>
  <si>
    <t>Other Income (i.e. Second job, benefits payments) – Input 50% if standard 100% if Income Flex</t>
  </si>
  <si>
    <t>Max LTI Applicable:</t>
  </si>
  <si>
    <t>UW</t>
  </si>
  <si>
    <t>Tab</t>
  </si>
  <si>
    <t>Repayment type</t>
  </si>
  <si>
    <t>Annual loan commitments £</t>
  </si>
  <si>
    <t>Pass/Refer</t>
  </si>
  <si>
    <t>Product length</t>
  </si>
  <si>
    <t>Occupancy</t>
  </si>
  <si>
    <t>Type of application</t>
  </si>
  <si>
    <t>Input</t>
  </si>
  <si>
    <t>Dropdown</t>
  </si>
  <si>
    <t>LTI CALCULATION</t>
  </si>
  <si>
    <t>Annual mortgage payments £</t>
  </si>
  <si>
    <t>Other monthly mortgage Payments £</t>
  </si>
  <si>
    <t>LTV Limit</t>
  </si>
  <si>
    <t>Net Pay (£):</t>
  </si>
  <si>
    <t>App 1</t>
  </si>
  <si>
    <t>Added multiple household option; overtime now taken as input value; added LTI dropdowns; payslip deductions now made before tax calculation; self supporting on BTL changed from 1.35 to 1.25 &amp; if self supporting now excluded from DTI; DTI changed to use monthly loan &amp; mortgage payments, previously used balance outstanding.</t>
  </si>
  <si>
    <t xml:space="preserve">Removed professional &amp; credit history questions, replaced with LTI dropdowns - max LTI per applicant is selected by user, in the background each income is multiplied by the selected LTI multiple, the two highest products are added together, with the two remaining applicants income also added in without a multiplier applied to find the max loan. </t>
  </si>
  <si>
    <t>Updated advance limits; added multiple households &amp; applicants option (max 4); added DTI &amp; LTI ratios; ONS is shown per household and then amalgamated for NFP calculation.</t>
  </si>
  <si>
    <t>Payslip deductions; Pre-Tax £:</t>
  </si>
  <si>
    <t>, Post-Tax £:</t>
  </si>
  <si>
    <r>
      <t>Note: Overtime, Bonuses &amp; Commission – Input 50% if standard 100% if Income Flex. Input</t>
    </r>
    <r>
      <rPr>
        <b/>
        <u/>
        <sz val="11"/>
        <color theme="1"/>
        <rFont val="Calibri"/>
        <family val="2"/>
        <scheme val="minor"/>
      </rPr>
      <t xml:space="preserve"> </t>
    </r>
    <r>
      <rPr>
        <b/>
        <u/>
        <sz val="11"/>
        <color rgb="FFFF0000"/>
        <rFont val="Calibri"/>
        <family val="2"/>
        <scheme val="minor"/>
      </rPr>
      <t>ANNUAL</t>
    </r>
    <r>
      <rPr>
        <b/>
        <i/>
        <u/>
        <sz val="11"/>
        <color theme="1"/>
        <rFont val="Calibri"/>
        <family val="2"/>
        <scheme val="minor"/>
      </rPr>
      <t xml:space="preserve"> amounts below:</t>
    </r>
  </si>
  <si>
    <t>Updated council tax rates</t>
  </si>
  <si>
    <t>Split payslip deductions into pre &amp; post tax</t>
  </si>
  <si>
    <t>Updated national insurance rates in tax calculator tabs</t>
  </si>
  <si>
    <t>Added 1x income multiple</t>
  </si>
  <si>
    <t>UW/Enquiry</t>
  </si>
  <si>
    <t>24-25</t>
  </si>
  <si>
    <t>Adjusted the additional rate tax band from £150,000 to £125,140.</t>
  </si>
  <si>
    <t>All</t>
  </si>
  <si>
    <t>Updated ONS</t>
  </si>
  <si>
    <t>Scotland:</t>
  </si>
  <si>
    <t>Income Tax (England)</t>
  </si>
  <si>
    <t>Income Tax (Scotland)</t>
  </si>
  <si>
    <t>Band</t>
  </si>
  <si>
    <t>Upper Limit</t>
  </si>
  <si>
    <t>Rate</t>
  </si>
  <si>
    <t>National Insurance</t>
  </si>
  <si>
    <t>Personal Allowance</t>
  </si>
  <si>
    <t>Basic Rate</t>
  </si>
  <si>
    <t>Starter rate</t>
  </si>
  <si>
    <t>Primary threshold</t>
  </si>
  <si>
    <t>Basic rate</t>
  </si>
  <si>
    <t>Upper earnings limit</t>
  </si>
  <si>
    <t>Additional Rate</t>
  </si>
  <si>
    <t>Intermediate rate</t>
  </si>
  <si>
    <t>Higher rate</t>
  </si>
  <si>
    <t>Advanced rate</t>
  </si>
  <si>
    <t>Top rate</t>
  </si>
  <si>
    <t>Gross Annual Income (After Deductions)</t>
  </si>
  <si>
    <t>Before Deductions</t>
  </si>
  <si>
    <t>Bands (England)</t>
  </si>
  <si>
    <t>Tax Amount</t>
  </si>
  <si>
    <t>Bands (Scotland)</t>
  </si>
  <si>
    <t>Location:</t>
  </si>
  <si>
    <t>Monthly Income:</t>
  </si>
  <si>
    <t>Added Scotland ONS, tax rates, council tax. Updated Stress Rates.</t>
  </si>
  <si>
    <t>Summary Details</t>
  </si>
  <si>
    <t xml:space="preserve">This model has been identified as a material model, as defined in the Model Risk Management Policy, and therefore follows the requirements of that Policy, as follows:
- Summary Details, Detailed Description and Version Control tabs are included in the spreadsheet and kept up-to-date;
- Write access to the spreadsheet is password protected;
- A minimum of 2 staff members are trained on how to use the model and are able to make amendments;
- All output from the model is subject to review by an independent person (cannot be the preparer); and
- Changes to the model are subject to review by an independent person (cannot be the person making changes).
</t>
  </si>
  <si>
    <t>Model name:</t>
  </si>
  <si>
    <t>Purpose of the model:</t>
  </si>
  <si>
    <t xml:space="preserve">This is the Society's affordability calculator used to understand how much customers are able to borrow based on set criteria and affordability.  </t>
  </si>
  <si>
    <t>Model Owner:</t>
  </si>
  <si>
    <t>Locations:</t>
  </si>
  <si>
    <t>Staff trained on use / changes (main two):</t>
  </si>
  <si>
    <t>Finance Analyst - Product Pricing, Finance Manager - MI</t>
  </si>
  <si>
    <t>Staff notified of changes:</t>
  </si>
  <si>
    <t>Committee approving material changes:</t>
  </si>
  <si>
    <t>Credit Committee / Board</t>
  </si>
  <si>
    <t>Changes to other policies / procedures required:</t>
  </si>
  <si>
    <t xml:space="preserve">Lending Policy </t>
  </si>
  <si>
    <t>Detailed Description</t>
  </si>
  <si>
    <t>Detailed description:</t>
  </si>
  <si>
    <r>
      <t xml:space="preserve">How to use the model </t>
    </r>
    <r>
      <rPr>
        <sz val="11"/>
        <rFont val="Arial"/>
        <family val="2"/>
      </rPr>
      <t>(if separate procedures are in place then just link to these)</t>
    </r>
    <r>
      <rPr>
        <b/>
        <sz val="11"/>
        <rFont val="Arial"/>
        <family val="2"/>
      </rPr>
      <t>:</t>
    </r>
  </si>
  <si>
    <t>How the model works:</t>
  </si>
  <si>
    <t>Key points to know/check when using:</t>
  </si>
  <si>
    <t xml:space="preserve">The key points to ensure are correct are as follows:
- Check "Pass/Refer Check" boxes, pass requires &gt;=5% net free pay.
- Review any flagged ONS differences.
- Check "Repayment Type Check" box; displays "Error" if repayment type selected does not correlate with input capital/interest only values/split.
-Ensure all fields completed
</t>
  </si>
  <si>
    <t>Key points to know/check when making changes:</t>
  </si>
  <si>
    <t>Sources of information:</t>
  </si>
  <si>
    <t xml:space="preserve">The main sources of information that feed into the model are:
- ONS data
- Stress rates
</t>
  </si>
  <si>
    <t>Key assumptions and judgements made:</t>
  </si>
  <si>
    <t>Key outputs of the model:</t>
  </si>
  <si>
    <t xml:space="preserve">The key outputs of the model are:
- Pass/Refer - affordability outcome.
- % net free pay.
</t>
  </si>
  <si>
    <t>Key controls within the model to ensure accuracy:</t>
  </si>
  <si>
    <t xml:space="preserve">The key controls within the model are:
- Protected cells
- Read only access for underwriters
- Reset macro
- Check cells, data validation
- Model compliance with the Model Risk Management Policy.
</t>
  </si>
  <si>
    <t>Key to colour coded cells within the model:</t>
  </si>
  <si>
    <t>HRBS Affordability Calculator - Owner Occupier</t>
  </si>
  <si>
    <t>Director of Lending</t>
  </si>
  <si>
    <t>F:\Shared reports\Calculators\Owner Occupied</t>
  </si>
  <si>
    <t xml:space="preserve">Mortgage Sales &amp; Mortgage Underwriting Department (request changes) </t>
  </si>
  <si>
    <t>This is the Society's affordability calculator used when assessing affordability for owner occupier loan applications, affordability is assessed using a net free pay calculation (5% minimum required to pass) using actual income and expenditure input into the model. Expenditure is compared against ONS per the applicants specific region and household occupancy and any expenditure which is less than or equal to 105% of ONS is flagged. The loan monthly payment is calculated per input criteria and stressed using the stress rate applicable to the product length. The maximum loan available to the customer is calculated depending on the individuals income, credit history.</t>
  </si>
  <si>
    <t xml:space="preserve">ONS expenditure data is stored on the "Data" tab, using the postcode input into the model the region is found using the lookup table in the postcode summary tab, this region is then used to find the expenditure specific to that region on the ONS data tab, this is then multiplied by a weighting on the data tab, the weighting used is determined by the household occupancy input into the model. ONS expenditure is compared with actuals on the main sheet and flagged where actuals are less than or equal to 105%.
Mortgage repayments are calculated on their own tab, using inputs from the calculator, this sheet is also where stress rates are updated when changed.
</t>
  </si>
  <si>
    <t>When SVR changes, stress rates are updated in the "mortgage repayments" tab. Annually when ONS is updated, the ONS table in the "Data" tab is updated as are the household weightings on the same tab.</t>
  </si>
  <si>
    <t>Blue shading: Formulated cells</t>
  </si>
  <si>
    <t>Green shading: Input cells</t>
  </si>
  <si>
    <t>Orange shading: Input cells (Dropdowns)</t>
  </si>
  <si>
    <t>Tax Calculator</t>
  </si>
  <si>
    <t>Scotland tax bands updated for 25/26</t>
  </si>
  <si>
    <t>Updated Stress Rate &amp; ONS</t>
  </si>
  <si>
    <t>2024 DATA</t>
  </si>
  <si>
    <t xml:space="preserve"> Pass/Refer</t>
  </si>
  <si>
    <t xml:space="preserve">Please ensure if a Pass the Maximum Loan states Proceed to Affordability 
If "Refer" please call the Sales team on 01455 894084 if you need any further assistance.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</si>
</sst>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5" formatCode="&quot;£&quot;#,##0;\-&quot;£&quot;#,##0"/>
    <numFmt numFmtId="6" formatCode="&quot;£&quot;#,##0;[Red]\-&quot;£&quot;#,##0"/>
    <numFmt numFmtId="7" formatCode="&quot;£&quot;#,##0.00;\-&quot;£&quot;#,##0.00"/>
    <numFmt numFmtId="8" formatCode="&quot;£&quot;#,##0.00;[Red]\-&quot;£&quot;#,##0.00"/>
    <numFmt numFmtId="41" formatCode="_-* #,##0_-;\-* #,##0_-;_-* &quot;-&quot;_-;_-@_-"/>
    <numFmt numFmtId="44" formatCode="_-&quot;£&quot;* #,##0.00_-;\-&quot;£&quot;* #,##0.00_-;_-&quot;£&quot;* &quot;-&quot;??_-;_-@_-"/>
    <numFmt numFmtId="43" formatCode="_-* #,##0.00_-;\-* #,##0.00_-;_-* &quot;-&quot;??_-;_-@_-"/>
    <numFmt numFmtId="164" formatCode="_-* #,##0_-;\-* #,##0_-;_-* &quot;-&quot;??_-;_-@_-"/>
    <numFmt numFmtId="165" formatCode="_(* #,##0_);_(* \(#,##0\);_(* &quot;-&quot;??_);_(@_)"/>
    <numFmt numFmtId="166" formatCode="0.0%"/>
    <numFmt numFmtId="167" formatCode="#,##0.00_ ;\-#,##0.00\ "/>
    <numFmt numFmtId="168" formatCode="#,##0_ ;\-#,##0\ "/>
    <numFmt numFmtId="169" formatCode="0;\-0;;@"/>
    <numFmt numFmtId="170" formatCode="_-* #,##0_-;\-* #,##0"/>
    <numFmt numFmtId="171" formatCode="_-* #,##0.0_-;\-* #,##0.0_-;_-* &quot;-&quot;?_-;_-@_-"/>
    <numFmt numFmtId="172" formatCode="&quot;£&quot;#,##0"/>
    <numFmt numFmtId="173" formatCode="0.000%"/>
    <numFmt numFmtId="174" formatCode="#,##0.00_ ;[Red]\-#,##0.00\ "/>
  </numFmts>
  <fonts count="52" x14ac:knownFonts="1">
    <font>
      <sz val="11"/>
      <color theme="1"/>
      <name val="Calibri"/>
      <family val="2"/>
      <scheme val="minor"/>
    </font>
    <font>
      <sz val="10"/>
      <color indexed="8"/>
      <name val="Arial"/>
      <family val="2"/>
    </font>
    <font>
      <sz val="10"/>
      <name val="Arial"/>
      <family val="2"/>
    </font>
    <font>
      <b/>
      <sz val="10"/>
      <name val="Arial"/>
      <family val="2"/>
    </font>
    <font>
      <sz val="10"/>
      <color indexed="9"/>
      <name val="Arial"/>
      <family val="2"/>
    </font>
    <font>
      <i/>
      <sz val="10"/>
      <name val="Arial"/>
      <family val="2"/>
    </font>
    <font>
      <b/>
      <sz val="12"/>
      <color indexed="18"/>
      <name val="Arial"/>
      <family val="2"/>
    </font>
    <font>
      <sz val="8"/>
      <name val="Arial"/>
      <family val="2"/>
    </font>
    <font>
      <b/>
      <sz val="10"/>
      <name val="Arial Narrow"/>
      <family val="2"/>
    </font>
    <font>
      <b/>
      <sz val="12"/>
      <name val="Arial"/>
      <family val="2"/>
    </font>
    <font>
      <b/>
      <sz val="14"/>
      <name val="Arial"/>
      <family val="2"/>
    </font>
    <font>
      <b/>
      <sz val="10"/>
      <color indexed="18"/>
      <name val="Arial"/>
      <family val="2"/>
    </font>
    <font>
      <sz val="11"/>
      <color theme="1"/>
      <name val="Calibri"/>
      <family val="2"/>
      <scheme val="minor"/>
    </font>
    <font>
      <sz val="10"/>
      <color theme="1"/>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sz val="35"/>
      <name val="Calibri"/>
      <family val="2"/>
      <scheme val="minor"/>
    </font>
    <font>
      <b/>
      <sz val="18"/>
      <name val="Calibri"/>
      <family val="2"/>
      <scheme val="minor"/>
    </font>
    <font>
      <i/>
      <sz val="11"/>
      <name val="Calibri"/>
      <family val="2"/>
      <scheme val="minor"/>
    </font>
    <font>
      <sz val="11"/>
      <color rgb="FF000000"/>
      <name val="Calibri"/>
      <family val="2"/>
    </font>
    <font>
      <b/>
      <sz val="11"/>
      <color theme="0"/>
      <name val="Calibri"/>
      <family val="2"/>
      <scheme val="minor"/>
    </font>
    <font>
      <sz val="11"/>
      <color rgb="FFFF0000"/>
      <name val="Calibri"/>
      <family val="2"/>
      <scheme val="minor"/>
    </font>
    <font>
      <sz val="11"/>
      <color theme="0"/>
      <name val="Calibri"/>
      <family val="2"/>
      <scheme val="minor"/>
    </font>
    <font>
      <b/>
      <u/>
      <sz val="11"/>
      <color theme="1"/>
      <name val="Calibri"/>
      <family val="2"/>
      <scheme val="minor"/>
    </font>
    <font>
      <b/>
      <sz val="11"/>
      <name val="Calibri"/>
      <family val="2"/>
    </font>
    <font>
      <u/>
      <sz val="11"/>
      <color theme="1"/>
      <name val="Calibri"/>
      <family val="2"/>
      <scheme val="minor"/>
    </font>
    <font>
      <sz val="9"/>
      <color theme="1"/>
      <name val="Calibri"/>
      <family val="2"/>
      <scheme val="minor"/>
    </font>
    <font>
      <sz val="10"/>
      <color theme="1"/>
      <name val="Calibri"/>
      <family val="2"/>
      <scheme val="minor"/>
    </font>
    <font>
      <b/>
      <sz val="12"/>
      <color theme="1"/>
      <name val="Calibri"/>
      <family val="2"/>
      <scheme val="minor"/>
    </font>
    <font>
      <b/>
      <sz val="14"/>
      <color rgb="FF800080"/>
      <name val="Calibri"/>
      <family val="2"/>
    </font>
    <font>
      <b/>
      <sz val="16"/>
      <color theme="1"/>
      <name val="Calibri"/>
      <family val="2"/>
      <scheme val="minor"/>
    </font>
    <font>
      <sz val="16"/>
      <color theme="1"/>
      <name val="Calibri"/>
      <family val="2"/>
      <scheme val="minor"/>
    </font>
    <font>
      <sz val="22"/>
      <color rgb="FFFF0000"/>
      <name val="Calibri"/>
      <family val="2"/>
      <scheme val="minor"/>
    </font>
    <font>
      <i/>
      <sz val="11"/>
      <color rgb="FFFF0000"/>
      <name val="Calibri"/>
      <family val="2"/>
      <scheme val="minor"/>
    </font>
    <font>
      <sz val="18"/>
      <color theme="1"/>
      <name val="Calibri"/>
      <family val="2"/>
      <scheme val="minor"/>
    </font>
    <font>
      <sz val="11"/>
      <color theme="8" tint="0.59999389629810485"/>
      <name val="Calibri"/>
      <family val="2"/>
      <scheme val="minor"/>
    </font>
    <font>
      <b/>
      <sz val="18"/>
      <color theme="1"/>
      <name val="Calibri"/>
      <family val="2"/>
      <scheme val="minor"/>
    </font>
    <font>
      <b/>
      <i/>
      <sz val="9"/>
      <color indexed="8"/>
      <name val="Calibri"/>
      <family val="2"/>
    </font>
    <font>
      <sz val="35"/>
      <color theme="8" tint="-0.499984740745262"/>
      <name val="Calibri"/>
      <family val="2"/>
      <scheme val="minor"/>
    </font>
    <font>
      <sz val="10"/>
      <color theme="0"/>
      <name val="Arial"/>
      <family val="2"/>
    </font>
    <font>
      <b/>
      <i/>
      <u/>
      <sz val="11"/>
      <color theme="1"/>
      <name val="Calibri"/>
      <family val="2"/>
      <scheme val="minor"/>
    </font>
    <font>
      <b/>
      <u/>
      <sz val="11"/>
      <color rgb="FFFF0000"/>
      <name val="Calibri"/>
      <family val="2"/>
      <scheme val="minor"/>
    </font>
    <font>
      <b/>
      <sz val="11"/>
      <name val="Arial"/>
      <family val="2"/>
    </font>
    <font>
      <sz val="11"/>
      <name val="Arial"/>
      <family val="2"/>
    </font>
    <font>
      <sz val="11"/>
      <color rgb="FFFFFFFF"/>
      <name val="Calibri"/>
      <family val="2"/>
      <scheme val="minor"/>
    </font>
    <font>
      <b/>
      <sz val="11"/>
      <color rgb="FFFFFFFF"/>
      <name val="Calibri"/>
      <family val="2"/>
      <scheme val="minor"/>
    </font>
    <font>
      <b/>
      <sz val="48"/>
      <color rgb="FFFFFFFF"/>
      <name val="Calibri"/>
      <family val="2"/>
      <scheme val="minor"/>
    </font>
    <font>
      <b/>
      <sz val="22"/>
      <name val="Calibri"/>
      <family val="2"/>
      <scheme val="minor"/>
    </font>
    <font>
      <b/>
      <sz val="22"/>
      <color rgb="FFFFFFFF"/>
      <name val="Calibri"/>
      <family val="2"/>
      <scheme val="minor"/>
    </font>
    <font>
      <b/>
      <sz val="20"/>
      <color theme="1"/>
      <name val="Calibri"/>
      <family val="2"/>
      <scheme val="minor"/>
    </font>
  </fonts>
  <fills count="2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
      <patternFill patternType="solid">
        <fgColor rgb="FF00B0F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F2F2F2"/>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theme="8"/>
        <bgColor indexed="64"/>
      </patternFill>
    </fill>
  </fills>
  <borders count="58">
    <border>
      <left/>
      <right/>
      <top/>
      <bottom/>
      <diagonal/>
    </border>
    <border>
      <left/>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999999"/>
      </left>
      <right/>
      <top style="thin">
        <color rgb="FF999999"/>
      </top>
      <bottom/>
      <diagonal/>
    </border>
    <border>
      <left style="thin">
        <color rgb="FF999999"/>
      </left>
      <right/>
      <top/>
      <bottom/>
      <diagonal/>
    </border>
    <border>
      <left style="thin">
        <color rgb="FF999999"/>
      </left>
      <right/>
      <top style="thin">
        <color rgb="FF999999"/>
      </top>
      <bottom style="thin">
        <color rgb="FF999999"/>
      </bottom>
      <diagonal/>
    </border>
    <border>
      <left style="thin">
        <color rgb="FF999999"/>
      </left>
      <right style="thin">
        <color rgb="FF999999"/>
      </right>
      <top style="thin">
        <color rgb="FF999999"/>
      </top>
      <bottom/>
      <diagonal/>
    </border>
    <border>
      <left style="thin">
        <color rgb="FF999999"/>
      </left>
      <right style="thin">
        <color rgb="FF999999"/>
      </right>
      <top/>
      <bottom/>
      <diagonal/>
    </border>
    <border>
      <left style="thin">
        <color rgb="FF999999"/>
      </left>
      <right style="thin">
        <color rgb="FF999999"/>
      </right>
      <top style="thin">
        <color rgb="FF999999"/>
      </top>
      <bottom style="thin">
        <color rgb="FF999999"/>
      </bottom>
      <diagonal/>
    </border>
    <border>
      <left style="medium">
        <color theme="8" tint="-0.499984740745262"/>
      </left>
      <right style="medium">
        <color theme="8" tint="-0.499984740745262"/>
      </right>
      <top style="medium">
        <color theme="8" tint="-0.499984740745262"/>
      </top>
      <bottom style="medium">
        <color theme="8" tint="-0.499984740745262"/>
      </bottom>
      <diagonal/>
    </border>
    <border>
      <left style="medium">
        <color theme="8" tint="-0.499984740745262"/>
      </left>
      <right style="medium">
        <color theme="8" tint="-0.499984740745262"/>
      </right>
      <top style="medium">
        <color theme="8" tint="-0.499984740745262"/>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0" tint="-0.14999847407452621"/>
      </bottom>
      <diagonal/>
    </border>
    <border>
      <left/>
      <right/>
      <top style="thin">
        <color theme="0" tint="-0.14999847407452621"/>
      </top>
      <bottom/>
      <diagonal/>
    </border>
    <border>
      <left/>
      <right/>
      <top style="thin">
        <color theme="0" tint="-0.14999847407452621"/>
      </top>
      <bottom style="thin">
        <color theme="0" tint="-0.14999847407452621"/>
      </bottom>
      <diagonal/>
    </border>
    <border>
      <left/>
      <right/>
      <top style="thin">
        <color theme="0" tint="-0.14996795556505021"/>
      </top>
      <bottom/>
      <diagonal/>
    </border>
    <border>
      <left/>
      <right/>
      <top/>
      <bottom style="thin">
        <color theme="0" tint="-0.14996795556505021"/>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indexed="64"/>
      </left>
      <right style="thin">
        <color indexed="64"/>
      </right>
      <top/>
      <bottom/>
      <diagonal/>
    </border>
    <border>
      <left/>
      <right/>
      <top style="thin">
        <color theme="0" tint="-0.249977111117893"/>
      </top>
      <bottom/>
      <diagonal/>
    </border>
    <border>
      <left/>
      <right style="thin">
        <color theme="0" tint="-0.14999847407452621"/>
      </right>
      <top/>
      <bottom/>
      <diagonal/>
    </border>
    <border>
      <left/>
      <right style="thin">
        <color theme="0" tint="-0.14999847407452621"/>
      </right>
      <top style="thin">
        <color theme="0" tint="-0.14999847407452621"/>
      </top>
      <bottom/>
      <diagonal/>
    </border>
    <border>
      <left/>
      <right style="thin">
        <color theme="0" tint="-0.14999847407452621"/>
      </right>
      <top/>
      <bottom style="thin">
        <color theme="0" tint="-0.14999847407452621"/>
      </bottom>
      <diagonal/>
    </border>
    <border>
      <left/>
      <right style="thin">
        <color theme="0" tint="-0.14999847407452621"/>
      </right>
      <top style="thin">
        <color theme="0" tint="-0.249977111117893"/>
      </top>
      <bottom/>
      <diagonal/>
    </border>
    <border>
      <left/>
      <right style="thin">
        <color theme="0" tint="-0.14999847407452621"/>
      </right>
      <top/>
      <bottom style="thin">
        <color theme="0" tint="-0.14996795556505021"/>
      </bottom>
      <diagonal/>
    </border>
    <border>
      <left/>
      <right style="thin">
        <color theme="0" tint="-0.14999847407452621"/>
      </right>
      <top style="thin">
        <color theme="0" tint="-0.14996795556505021"/>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tint="-0.14999847407452621"/>
      </left>
      <right/>
      <top style="thin">
        <color theme="0" tint="-0.14999847407452621"/>
      </top>
      <bottom/>
      <diagonal/>
    </border>
    <border>
      <left style="thin">
        <color theme="0" tint="-0.14999847407452621"/>
      </left>
      <right/>
      <top/>
      <bottom style="thin">
        <color theme="0" tint="-0.14999847407452621"/>
      </bottom>
      <diagonal/>
    </border>
    <border>
      <left/>
      <right/>
      <top style="thin">
        <color indexed="64"/>
      </top>
      <bottom style="double">
        <color indexed="64"/>
      </bottom>
      <diagonal/>
    </border>
  </borders>
  <cellStyleXfs count="49">
    <xf numFmtId="0" fontId="0" fillId="0" borderId="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3" fillId="0" borderId="0"/>
    <xf numFmtId="0" fontId="12" fillId="0" borderId="0"/>
    <xf numFmtId="0" fontId="12" fillId="0" borderId="0"/>
    <xf numFmtId="0" fontId="12" fillId="0" borderId="0"/>
    <xf numFmtId="0" fontId="13" fillId="0" borderId="0"/>
    <xf numFmtId="0" fontId="13" fillId="0" borderId="0"/>
    <xf numFmtId="0" fontId="14" fillId="0" borderId="0"/>
    <xf numFmtId="0" fontId="14"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9" fontId="1"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2" fillId="0" borderId="0"/>
    <xf numFmtId="0" fontId="2" fillId="0" borderId="0"/>
    <xf numFmtId="0" fontId="2" fillId="0" borderId="0"/>
  </cellStyleXfs>
  <cellXfs count="776">
    <xf numFmtId="0" fontId="0" fillId="0" borderId="0" xfId="0"/>
    <xf numFmtId="0" fontId="0" fillId="4" borderId="0" xfId="0" applyFill="1"/>
    <xf numFmtId="0" fontId="13" fillId="0" borderId="0" xfId="23"/>
    <xf numFmtId="0" fontId="13" fillId="0" borderId="4" xfId="23" applyBorder="1"/>
    <xf numFmtId="8" fontId="13" fillId="0" borderId="5" xfId="23" applyNumberFormat="1" applyBorder="1"/>
    <xf numFmtId="0" fontId="13" fillId="0" borderId="6" xfId="23" applyBorder="1"/>
    <xf numFmtId="8" fontId="13" fillId="0" borderId="7" xfId="23" applyNumberFormat="1" applyBorder="1"/>
    <xf numFmtId="0" fontId="13" fillId="0" borderId="8" xfId="23" applyBorder="1"/>
    <xf numFmtId="44" fontId="13" fillId="0" borderId="0" xfId="23" applyNumberFormat="1"/>
    <xf numFmtId="0" fontId="3" fillId="0" borderId="9" xfId="23" applyFont="1" applyBorder="1" applyProtection="1">
      <protection locked="0"/>
    </xf>
    <xf numFmtId="0" fontId="4" fillId="0" borderId="0" xfId="23" applyFont="1"/>
    <xf numFmtId="0" fontId="13" fillId="0" borderId="0" xfId="23" applyProtection="1">
      <protection locked="0"/>
    </xf>
    <xf numFmtId="10" fontId="3" fillId="0" borderId="9" xfId="36" applyNumberFormat="1" applyFont="1" applyBorder="1" applyProtection="1">
      <protection locked="0"/>
    </xf>
    <xf numFmtId="0" fontId="3" fillId="0" borderId="0" xfId="23" applyFont="1" applyProtection="1">
      <protection locked="0"/>
    </xf>
    <xf numFmtId="44" fontId="5" fillId="0" borderId="0" xfId="23" applyNumberFormat="1" applyFont="1"/>
    <xf numFmtId="0" fontId="3" fillId="4" borderId="0" xfId="23" applyFont="1" applyFill="1"/>
    <xf numFmtId="0" fontId="5" fillId="0" borderId="0" xfId="23" applyFont="1"/>
    <xf numFmtId="0" fontId="2" fillId="0" borderId="0" xfId="23" applyFont="1"/>
    <xf numFmtId="0" fontId="13" fillId="0" borderId="10" xfId="23" applyBorder="1"/>
    <xf numFmtId="2" fontId="13" fillId="0" borderId="10" xfId="23" applyNumberFormat="1" applyBorder="1"/>
    <xf numFmtId="0" fontId="13" fillId="0" borderId="5" xfId="23" applyBorder="1"/>
    <xf numFmtId="0" fontId="13" fillId="0" borderId="7" xfId="23" applyBorder="1"/>
    <xf numFmtId="0" fontId="2" fillId="0" borderId="7" xfId="23" applyFont="1" applyBorder="1"/>
    <xf numFmtId="8" fontId="13" fillId="0" borderId="0" xfId="23" applyNumberFormat="1"/>
    <xf numFmtId="0" fontId="3" fillId="4" borderId="8" xfId="23" applyFont="1" applyFill="1" applyBorder="1"/>
    <xf numFmtId="0" fontId="13" fillId="0" borderId="1" xfId="23" applyBorder="1"/>
    <xf numFmtId="8" fontId="13" fillId="0" borderId="1" xfId="23" applyNumberFormat="1" applyBorder="1"/>
    <xf numFmtId="0" fontId="13" fillId="0" borderId="11" xfId="23" applyBorder="1"/>
    <xf numFmtId="0" fontId="0" fillId="0" borderId="4" xfId="0" applyBorder="1"/>
    <xf numFmtId="10" fontId="0" fillId="4" borderId="5" xfId="0" applyNumberFormat="1" applyFill="1" applyBorder="1"/>
    <xf numFmtId="0" fontId="0" fillId="0" borderId="6" xfId="0" applyBorder="1"/>
    <xf numFmtId="10" fontId="0" fillId="4" borderId="7" xfId="0" applyNumberFormat="1" applyFill="1" applyBorder="1"/>
    <xf numFmtId="0" fontId="0" fillId="0" borderId="8" xfId="0" applyBorder="1"/>
    <xf numFmtId="8" fontId="13" fillId="4" borderId="0" xfId="23" applyNumberFormat="1" applyFill="1"/>
    <xf numFmtId="0" fontId="0" fillId="0" borderId="22" xfId="0" pivotButton="1"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8" fontId="13" fillId="4" borderId="11" xfId="23" applyNumberFormat="1" applyFill="1" applyBorder="1"/>
    <xf numFmtId="0" fontId="0" fillId="0" borderId="22" xfId="0" applyBorder="1"/>
    <xf numFmtId="10" fontId="0" fillId="4" borderId="11" xfId="0" applyNumberFormat="1" applyFill="1" applyBorder="1"/>
    <xf numFmtId="4" fontId="13" fillId="0" borderId="0" xfId="23" applyNumberFormat="1"/>
    <xf numFmtId="0" fontId="16" fillId="3" borderId="0" xfId="0" applyFont="1" applyFill="1"/>
    <xf numFmtId="9" fontId="16" fillId="3" borderId="0" xfId="36" applyFont="1" applyFill="1" applyProtection="1"/>
    <xf numFmtId="0" fontId="17" fillId="3" borderId="0" xfId="0" applyFont="1" applyFill="1"/>
    <xf numFmtId="2" fontId="16" fillId="3" borderId="0" xfId="0" applyNumberFormat="1" applyFont="1" applyFill="1"/>
    <xf numFmtId="164" fontId="16" fillId="3" borderId="0" xfId="1" applyNumberFormat="1" applyFont="1" applyFill="1" applyProtection="1"/>
    <xf numFmtId="167" fontId="16" fillId="3" borderId="0" xfId="1" applyNumberFormat="1" applyFont="1" applyFill="1" applyBorder="1" applyProtection="1"/>
    <xf numFmtId="0" fontId="16" fillId="0" borderId="0" xfId="0" applyFont="1"/>
    <xf numFmtId="9" fontId="16" fillId="3" borderId="0" xfId="36" applyFont="1" applyFill="1" applyAlignment="1" applyProtection="1">
      <alignment horizontal="center"/>
    </xf>
    <xf numFmtId="0" fontId="15" fillId="0" borderId="0" xfId="0" applyFont="1"/>
    <xf numFmtId="0" fontId="17" fillId="12" borderId="0" xfId="0" applyFont="1" applyFill="1" applyAlignment="1">
      <alignment horizontal="center" vertical="top"/>
    </xf>
    <xf numFmtId="0" fontId="17" fillId="12" borderId="0" xfId="0" applyFont="1" applyFill="1" applyAlignment="1">
      <alignment horizontal="center" vertical="top" wrapText="1"/>
    </xf>
    <xf numFmtId="2" fontId="17" fillId="12" borderId="0" xfId="0" applyNumberFormat="1" applyFont="1" applyFill="1" applyAlignment="1">
      <alignment horizontal="center" vertical="top"/>
    </xf>
    <xf numFmtId="0" fontId="15" fillId="0" borderId="0" xfId="0" applyFont="1" applyAlignment="1">
      <alignment vertical="top"/>
    </xf>
    <xf numFmtId="14" fontId="0" fillId="0" borderId="0" xfId="0" applyNumberFormat="1" applyAlignment="1">
      <alignment horizontal="center" vertical="top"/>
    </xf>
    <xf numFmtId="0" fontId="0" fillId="0" borderId="0" xfId="0" applyAlignment="1">
      <alignment horizontal="left" vertical="top" wrapText="1"/>
    </xf>
    <xf numFmtId="2" fontId="0" fillId="0" borderId="0" xfId="0" applyNumberFormat="1" applyAlignment="1">
      <alignment horizontal="center" vertical="top"/>
    </xf>
    <xf numFmtId="0" fontId="0" fillId="0" borderId="0" xfId="0" applyAlignment="1">
      <alignment vertical="top"/>
    </xf>
    <xf numFmtId="0" fontId="0" fillId="0" borderId="0" xfId="0" applyAlignment="1">
      <alignment horizontal="center" vertical="top"/>
    </xf>
    <xf numFmtId="0" fontId="15" fillId="3" borderId="0" xfId="0" applyFont="1" applyFill="1"/>
    <xf numFmtId="14" fontId="16" fillId="9" borderId="9" xfId="0" applyNumberFormat="1" applyFont="1" applyFill="1" applyBorder="1" applyAlignment="1" applyProtection="1">
      <alignment horizontal="center" wrapText="1"/>
      <protection locked="0"/>
    </xf>
    <xf numFmtId="0" fontId="16" fillId="12" borderId="9" xfId="0" applyFont="1" applyFill="1" applyBorder="1" applyAlignment="1" applyProtection="1">
      <alignment horizontal="center" wrapText="1"/>
      <protection locked="0"/>
    </xf>
    <xf numFmtId="0" fontId="15" fillId="0" borderId="0" xfId="0" applyFont="1" applyAlignment="1">
      <alignment horizontal="center"/>
    </xf>
    <xf numFmtId="0" fontId="16" fillId="9" borderId="9" xfId="0" applyFont="1" applyFill="1" applyBorder="1" applyAlignment="1" applyProtection="1">
      <alignment horizontal="center" wrapText="1"/>
      <protection locked="0"/>
    </xf>
    <xf numFmtId="167" fontId="16" fillId="9" borderId="28" xfId="1" applyNumberFormat="1" applyFont="1" applyFill="1" applyBorder="1" applyProtection="1">
      <protection locked="0"/>
    </xf>
    <xf numFmtId="14" fontId="16" fillId="9" borderId="28" xfId="1" applyNumberFormat="1" applyFont="1" applyFill="1" applyBorder="1" applyAlignment="1" applyProtection="1">
      <alignment horizontal="center"/>
      <protection locked="0"/>
    </xf>
    <xf numFmtId="4" fontId="16" fillId="9" borderId="3" xfId="0" applyNumberFormat="1" applyFont="1" applyFill="1" applyBorder="1" applyAlignment="1" applyProtection="1">
      <alignment horizontal="center" vertical="center"/>
      <protection locked="0"/>
    </xf>
    <xf numFmtId="10" fontId="16" fillId="9" borderId="3" xfId="0" applyNumberFormat="1" applyFont="1" applyFill="1" applyBorder="1" applyAlignment="1" applyProtection="1">
      <alignment horizontal="center"/>
      <protection locked="0"/>
    </xf>
    <xf numFmtId="0" fontId="24" fillId="0" borderId="0" xfId="0" applyFont="1"/>
    <xf numFmtId="0" fontId="24" fillId="3" borderId="0" xfId="0" applyFont="1" applyFill="1"/>
    <xf numFmtId="7" fontId="24" fillId="0" borderId="0" xfId="45" applyNumberFormat="1" applyFont="1" applyFill="1" applyBorder="1" applyProtection="1"/>
    <xf numFmtId="7" fontId="24" fillId="3" borderId="0" xfId="45" applyNumberFormat="1" applyFont="1" applyFill="1" applyProtection="1"/>
    <xf numFmtId="0" fontId="22" fillId="3" borderId="0" xfId="0" applyFont="1" applyFill="1"/>
    <xf numFmtId="0" fontId="0" fillId="3" borderId="0" xfId="0" applyFill="1"/>
    <xf numFmtId="0" fontId="12" fillId="15" borderId="33" xfId="0" applyFont="1" applyFill="1" applyBorder="1" applyProtection="1">
      <protection locked="0"/>
    </xf>
    <xf numFmtId="0" fontId="15" fillId="3" borderId="0" xfId="0" applyFont="1" applyFill="1" applyAlignment="1">
      <alignment horizontal="center"/>
    </xf>
    <xf numFmtId="0" fontId="12" fillId="19" borderId="33" xfId="0" applyFont="1" applyFill="1" applyBorder="1" applyProtection="1">
      <protection locked="0"/>
    </xf>
    <xf numFmtId="0" fontId="0" fillId="0" borderId="0" xfId="0" applyAlignment="1">
      <alignment horizontal="center" vertical="top" wrapText="1"/>
    </xf>
    <xf numFmtId="9" fontId="23" fillId="3" borderId="0" xfId="36" applyFont="1" applyFill="1" applyProtection="1"/>
    <xf numFmtId="0" fontId="23" fillId="3" borderId="0" xfId="0" applyFont="1" applyFill="1"/>
    <xf numFmtId="2" fontId="0" fillId="3" borderId="0" xfId="0" applyNumberFormat="1" applyFill="1"/>
    <xf numFmtId="2" fontId="0" fillId="3" borderId="0" xfId="0" applyNumberFormat="1" applyFill="1" applyAlignment="1">
      <alignment horizontal="center"/>
    </xf>
    <xf numFmtId="0" fontId="0" fillId="3" borderId="0" xfId="0" applyFill="1" applyAlignment="1">
      <alignment horizontal="center"/>
    </xf>
    <xf numFmtId="0" fontId="23" fillId="3" borderId="0" xfId="0" applyFont="1" applyFill="1" applyAlignment="1">
      <alignment horizontal="center"/>
    </xf>
    <xf numFmtId="2" fontId="23" fillId="3" borderId="0" xfId="36" applyNumberFormat="1" applyFont="1" applyFill="1" applyProtection="1"/>
    <xf numFmtId="0" fontId="0" fillId="3" borderId="15" xfId="0" applyFill="1" applyBorder="1" applyAlignment="1">
      <alignment horizontal="center" vertical="center"/>
    </xf>
    <xf numFmtId="0" fontId="0" fillId="3" borderId="0" xfId="0" applyFill="1" applyAlignment="1">
      <alignment horizontal="center" vertical="center"/>
    </xf>
    <xf numFmtId="0" fontId="0" fillId="3" borderId="14" xfId="0" applyFill="1" applyBorder="1" applyAlignment="1">
      <alignment horizontal="center" vertical="center"/>
    </xf>
    <xf numFmtId="2" fontId="23" fillId="3" borderId="0" xfId="0" applyNumberFormat="1" applyFont="1" applyFill="1"/>
    <xf numFmtId="0" fontId="23" fillId="3" borderId="0" xfId="0" applyFont="1" applyFill="1" applyAlignment="1">
      <alignment horizontal="left"/>
    </xf>
    <xf numFmtId="164" fontId="23" fillId="3" borderId="0" xfId="1" applyNumberFormat="1" applyFont="1" applyFill="1" applyProtection="1"/>
    <xf numFmtId="2" fontId="23" fillId="3" borderId="0" xfId="1" applyNumberFormat="1" applyFont="1" applyFill="1" applyProtection="1"/>
    <xf numFmtId="2" fontId="23" fillId="3" borderId="0" xfId="1" applyNumberFormat="1" applyFont="1" applyFill="1" applyAlignment="1" applyProtection="1">
      <alignment horizontal="center"/>
    </xf>
    <xf numFmtId="164" fontId="12" fillId="3" borderId="0" xfId="1" applyNumberFormat="1" applyFill="1" applyProtection="1"/>
    <xf numFmtId="2" fontId="23" fillId="3" borderId="0" xfId="1" applyNumberFormat="1" applyFont="1" applyFill="1" applyAlignment="1" applyProtection="1">
      <alignment vertical="center"/>
    </xf>
    <xf numFmtId="0" fontId="12" fillId="3" borderId="0" xfId="36" applyNumberFormat="1" applyFill="1" applyProtection="1"/>
    <xf numFmtId="10" fontId="12" fillId="3" borderId="0" xfId="36" applyNumberFormat="1" applyFill="1" applyProtection="1"/>
    <xf numFmtId="164" fontId="23" fillId="3" borderId="0" xfId="0" applyNumberFormat="1" applyFont="1" applyFill="1"/>
    <xf numFmtId="10" fontId="0" fillId="3" borderId="0" xfId="0" applyNumberFormat="1" applyFill="1" applyAlignment="1">
      <alignment horizontal="center"/>
    </xf>
    <xf numFmtId="0" fontId="15" fillId="3" borderId="0" xfId="0" applyFont="1" applyFill="1" applyAlignment="1">
      <alignment wrapText="1"/>
    </xf>
    <xf numFmtId="164" fontId="23" fillId="3" borderId="0" xfId="36" applyNumberFormat="1" applyFont="1" applyFill="1" applyProtection="1"/>
    <xf numFmtId="164" fontId="23" fillId="3" borderId="0" xfId="1" applyNumberFormat="1" applyFont="1" applyFill="1" applyAlignment="1" applyProtection="1">
      <alignment horizontal="center"/>
    </xf>
    <xf numFmtId="9" fontId="23" fillId="3" borderId="0" xfId="0" applyNumberFormat="1" applyFont="1" applyFill="1"/>
    <xf numFmtId="2" fontId="25" fillId="3" borderId="0" xfId="0" applyNumberFormat="1" applyFont="1" applyFill="1"/>
    <xf numFmtId="2" fontId="32" fillId="3" borderId="0" xfId="0" applyNumberFormat="1" applyFont="1" applyFill="1" applyAlignment="1">
      <alignment horizontal="center"/>
    </xf>
    <xf numFmtId="0" fontId="23" fillId="3" borderId="0" xfId="0" applyFont="1" applyFill="1" applyAlignment="1">
      <alignment horizontal="center" vertical="center" wrapText="1"/>
    </xf>
    <xf numFmtId="164" fontId="12" fillId="3" borderId="0" xfId="1" applyNumberFormat="1" applyFill="1" applyAlignment="1" applyProtection="1">
      <alignment horizontal="center"/>
    </xf>
    <xf numFmtId="5" fontId="0" fillId="3" borderId="0" xfId="0" applyNumberFormat="1" applyFill="1" applyAlignment="1">
      <alignment horizontal="center" vertical="center"/>
    </xf>
    <xf numFmtId="1" fontId="0" fillId="3" borderId="0" xfId="0" applyNumberFormat="1" applyFill="1" applyAlignment="1">
      <alignment horizontal="center" vertical="center"/>
    </xf>
    <xf numFmtId="9" fontId="24" fillId="3" borderId="0" xfId="0" applyNumberFormat="1" applyFont="1" applyFill="1"/>
    <xf numFmtId="0" fontId="0" fillId="3" borderId="11" xfId="0" applyFill="1" applyBorder="1"/>
    <xf numFmtId="0" fontId="0" fillId="3" borderId="1" xfId="0" applyFill="1" applyBorder="1"/>
    <xf numFmtId="0" fontId="0" fillId="3" borderId="8" xfId="0" applyFill="1" applyBorder="1"/>
    <xf numFmtId="0" fontId="0" fillId="4" borderId="7" xfId="0" applyFill="1" applyBorder="1"/>
    <xf numFmtId="1" fontId="0" fillId="4" borderId="0" xfId="0" applyNumberFormat="1" applyFill="1"/>
    <xf numFmtId="167" fontId="23" fillId="4" borderId="0" xfId="1" applyNumberFormat="1" applyFont="1" applyFill="1" applyAlignment="1" applyProtection="1">
      <alignment horizontal="right"/>
    </xf>
    <xf numFmtId="0" fontId="15" fillId="4" borderId="0" xfId="0" applyFont="1" applyFill="1"/>
    <xf numFmtId="0" fontId="0" fillId="4" borderId="6" xfId="0" applyFill="1" applyBorder="1"/>
    <xf numFmtId="0" fontId="24" fillId="4" borderId="0" xfId="0" applyFont="1" applyFill="1"/>
    <xf numFmtId="0" fontId="0" fillId="4" borderId="0" xfId="0" applyFill="1" applyAlignment="1">
      <alignment horizontal="center"/>
    </xf>
    <xf numFmtId="10" fontId="12" fillId="4" borderId="0" xfId="36" applyNumberFormat="1" applyFill="1" applyProtection="1"/>
    <xf numFmtId="170" fontId="12" fillId="4" borderId="0" xfId="1" applyNumberFormat="1" applyFill="1" applyProtection="1"/>
    <xf numFmtId="0" fontId="34" fillId="4" borderId="0" xfId="0" applyFont="1" applyFill="1" applyAlignment="1">
      <alignment horizontal="center"/>
    </xf>
    <xf numFmtId="164" fontId="12" fillId="13" borderId="0" xfId="1" applyNumberFormat="1" applyFill="1" applyProtection="1"/>
    <xf numFmtId="0" fontId="23" fillId="4" borderId="7" xfId="0" applyFont="1" applyFill="1" applyBorder="1"/>
    <xf numFmtId="5" fontId="0" fillId="4" borderId="0" xfId="0" applyNumberFormat="1" applyFill="1"/>
    <xf numFmtId="7" fontId="16" fillId="4" borderId="0" xfId="0" applyNumberFormat="1" applyFont="1" applyFill="1"/>
    <xf numFmtId="0" fontId="15" fillId="4" borderId="0" xfId="0" applyFont="1" applyFill="1" applyAlignment="1">
      <alignment horizontal="right"/>
    </xf>
    <xf numFmtId="0" fontId="35" fillId="3" borderId="0" xfId="0" applyFont="1" applyFill="1" applyAlignment="1">
      <alignment horizontal="center" vertical="top"/>
    </xf>
    <xf numFmtId="0" fontId="36" fillId="4" borderId="6" xfId="0" applyFont="1" applyFill="1" applyBorder="1"/>
    <xf numFmtId="2" fontId="35" fillId="3" borderId="0" xfId="0" applyNumberFormat="1" applyFont="1" applyFill="1" applyAlignment="1">
      <alignment horizontal="center" vertical="top"/>
    </xf>
    <xf numFmtId="0" fontId="23" fillId="3" borderId="7" xfId="0" applyFont="1" applyFill="1" applyBorder="1"/>
    <xf numFmtId="5" fontId="0" fillId="3" borderId="0" xfId="0" applyNumberFormat="1" applyFill="1"/>
    <xf numFmtId="5" fontId="16" fillId="3" borderId="0" xfId="0" applyNumberFormat="1" applyFont="1" applyFill="1"/>
    <xf numFmtId="0" fontId="0" fillId="3" borderId="6" xfId="0" applyFill="1" applyBorder="1"/>
    <xf numFmtId="5" fontId="0" fillId="15" borderId="3" xfId="0" applyNumberFormat="1" applyFill="1" applyBorder="1"/>
    <xf numFmtId="5" fontId="16" fillId="15" borderId="3" xfId="0" applyNumberFormat="1" applyFont="1" applyFill="1" applyBorder="1"/>
    <xf numFmtId="3" fontId="23" fillId="3" borderId="0" xfId="36" applyNumberFormat="1" applyFont="1" applyFill="1" applyProtection="1"/>
    <xf numFmtId="43" fontId="35" fillId="3" borderId="0" xfId="0" applyNumberFormat="1" applyFont="1" applyFill="1" applyAlignment="1">
      <alignment horizontal="center" vertical="top"/>
    </xf>
    <xf numFmtId="171" fontId="0" fillId="3" borderId="0" xfId="0" applyNumberFormat="1" applyFill="1"/>
    <xf numFmtId="171" fontId="16" fillId="3" borderId="0" xfId="0" applyNumberFormat="1" applyFont="1" applyFill="1"/>
    <xf numFmtId="0" fontId="35" fillId="4" borderId="0" xfId="0" applyFont="1" applyFill="1" applyAlignment="1">
      <alignment horizontal="center" vertical="top"/>
    </xf>
    <xf numFmtId="2" fontId="35" fillId="4" borderId="0" xfId="0" applyNumberFormat="1" applyFont="1" applyFill="1" applyAlignment="1">
      <alignment horizontal="center" vertical="top"/>
    </xf>
    <xf numFmtId="41" fontId="23" fillId="4" borderId="0" xfId="0" applyNumberFormat="1" applyFont="1" applyFill="1"/>
    <xf numFmtId="0" fontId="23" fillId="4" borderId="0" xfId="0" applyFont="1" applyFill="1"/>
    <xf numFmtId="5" fontId="12" fillId="11" borderId="28" xfId="1" applyNumberFormat="1" applyFill="1" applyBorder="1" applyProtection="1"/>
    <xf numFmtId="0" fontId="15" fillId="3" borderId="6" xfId="0" applyFont="1" applyFill="1" applyBorder="1" applyAlignment="1">
      <alignment horizontal="left"/>
    </xf>
    <xf numFmtId="0" fontId="24" fillId="3" borderId="6" xfId="0" applyFont="1" applyFill="1" applyBorder="1"/>
    <xf numFmtId="2" fontId="23" fillId="4" borderId="0" xfId="0" applyNumberFormat="1" applyFont="1" applyFill="1"/>
    <xf numFmtId="164" fontId="35" fillId="13" borderId="0" xfId="0" applyNumberFormat="1" applyFont="1" applyFill="1" applyAlignment="1">
      <alignment horizontal="center" vertical="top"/>
    </xf>
    <xf numFmtId="0" fontId="35" fillId="13" borderId="0" xfId="0" applyFont="1" applyFill="1" applyAlignment="1">
      <alignment horizontal="center" vertical="top"/>
    </xf>
    <xf numFmtId="0" fontId="36" fillId="3" borderId="6" xfId="0" applyFont="1" applyFill="1" applyBorder="1"/>
    <xf numFmtId="164" fontId="23" fillId="4" borderId="0" xfId="0" applyNumberFormat="1" applyFont="1" applyFill="1"/>
    <xf numFmtId="5" fontId="12" fillId="20" borderId="3" xfId="1" applyNumberFormat="1" applyFill="1" applyBorder="1" applyProtection="1"/>
    <xf numFmtId="2" fontId="0" fillId="4" borderId="0" xfId="0" applyNumberFormat="1" applyFill="1"/>
    <xf numFmtId="4" fontId="23" fillId="4" borderId="0" xfId="0" applyNumberFormat="1" applyFont="1" applyFill="1"/>
    <xf numFmtId="0" fontId="23" fillId="4" borderId="0" xfId="0" applyFont="1" applyFill="1" applyAlignment="1">
      <alignment horizontal="right"/>
    </xf>
    <xf numFmtId="5" fontId="12" fillId="11" borderId="3" xfId="1" applyNumberFormat="1" applyFill="1" applyBorder="1" applyProtection="1"/>
    <xf numFmtId="4" fontId="23" fillId="3" borderId="0" xfId="0" applyNumberFormat="1" applyFont="1" applyFill="1"/>
    <xf numFmtId="0" fontId="23" fillId="4" borderId="0" xfId="0" applyFont="1" applyFill="1" applyAlignment="1">
      <alignment horizontal="right" wrapText="1"/>
    </xf>
    <xf numFmtId="0" fontId="37" fillId="3" borderId="0" xfId="0" applyFont="1" applyFill="1"/>
    <xf numFmtId="0" fontId="37" fillId="4" borderId="0" xfId="0" applyFont="1" applyFill="1"/>
    <xf numFmtId="2" fontId="23" fillId="4" borderId="0" xfId="0" applyNumberFormat="1" applyFont="1" applyFill="1" applyAlignment="1">
      <alignment horizontal="right"/>
    </xf>
    <xf numFmtId="0" fontId="15" fillId="3" borderId="6" xfId="0" applyFont="1" applyFill="1" applyBorder="1" applyAlignment="1">
      <alignment horizontal="right"/>
    </xf>
    <xf numFmtId="2" fontId="37" fillId="4" borderId="0" xfId="0" applyNumberFormat="1" applyFont="1" applyFill="1"/>
    <xf numFmtId="0" fontId="0" fillId="3" borderId="7" xfId="0" applyFill="1" applyBorder="1"/>
    <xf numFmtId="0" fontId="38" fillId="3" borderId="0" xfId="0" applyFont="1" applyFill="1" applyAlignment="1">
      <alignment horizontal="center"/>
    </xf>
    <xf numFmtId="0" fontId="0" fillId="3" borderId="0" xfId="0" applyFill="1" applyAlignment="1">
      <alignment horizontal="center" wrapText="1"/>
    </xf>
    <xf numFmtId="0" fontId="0" fillId="3" borderId="0" xfId="0" applyFill="1" applyAlignment="1">
      <alignment wrapText="1"/>
    </xf>
    <xf numFmtId="10" fontId="0" fillId="11" borderId="3" xfId="0" applyNumberFormat="1" applyFill="1" applyBorder="1" applyAlignment="1">
      <alignment horizontal="center" vertical="center"/>
    </xf>
    <xf numFmtId="0" fontId="0" fillId="10" borderId="3" xfId="0" applyFill="1" applyBorder="1" applyAlignment="1">
      <alignment horizontal="center" vertical="center"/>
    </xf>
    <xf numFmtId="9" fontId="0" fillId="3" borderId="0" xfId="0" applyNumberFormat="1" applyFill="1" applyAlignment="1">
      <alignment horizontal="center" vertical="center"/>
    </xf>
    <xf numFmtId="6" fontId="0" fillId="21" borderId="28" xfId="0" applyNumberFormat="1" applyFill="1" applyBorder="1" applyAlignment="1">
      <alignment horizontal="center" vertical="center"/>
    </xf>
    <xf numFmtId="172" fontId="23" fillId="3" borderId="0" xfId="0" applyNumberFormat="1" applyFont="1" applyFill="1"/>
    <xf numFmtId="172" fontId="0" fillId="11" borderId="28" xfId="0" applyNumberFormat="1" applyFill="1" applyBorder="1" applyAlignment="1">
      <alignment horizontal="center" vertical="center"/>
    </xf>
    <xf numFmtId="0" fontId="29" fillId="10" borderId="3" xfId="0" applyFont="1" applyFill="1" applyBorder="1" applyAlignment="1">
      <alignment horizontal="center" vertical="center" wrapText="1"/>
    </xf>
    <xf numFmtId="0" fontId="0" fillId="11" borderId="28" xfId="0" applyFill="1" applyBorder="1" applyAlignment="1">
      <alignment horizontal="center" vertical="center"/>
    </xf>
    <xf numFmtId="6" fontId="12" fillId="11" borderId="28" xfId="1" applyNumberFormat="1" applyFill="1" applyBorder="1" applyAlignment="1" applyProtection="1">
      <alignment horizontal="center" vertical="center"/>
    </xf>
    <xf numFmtId="0" fontId="16" fillId="3" borderId="0" xfId="0" quotePrefix="1" applyFont="1" applyFill="1" applyAlignment="1">
      <alignment vertical="center"/>
    </xf>
    <xf numFmtId="0" fontId="40" fillId="3" borderId="7" xfId="0" applyFont="1" applyFill="1" applyBorder="1" applyAlignment="1">
      <alignment horizontal="center"/>
    </xf>
    <xf numFmtId="0" fontId="40" fillId="3" borderId="0" xfId="0" applyFont="1" applyFill="1" applyAlignment="1">
      <alignment horizontal="center"/>
    </xf>
    <xf numFmtId="0" fontId="40" fillId="3" borderId="5" xfId="0" applyFont="1" applyFill="1" applyBorder="1" applyAlignment="1">
      <alignment horizontal="center"/>
    </xf>
    <xf numFmtId="0" fontId="0" fillId="0" borderId="10" xfId="0" applyBorder="1" applyAlignment="1">
      <alignment horizontal="center"/>
    </xf>
    <xf numFmtId="0" fontId="0" fillId="3" borderId="4" xfId="0" applyFill="1" applyBorder="1"/>
    <xf numFmtId="172" fontId="13" fillId="0" borderId="0" xfId="23" applyNumberFormat="1"/>
    <xf numFmtId="173" fontId="3" fillId="0" borderId="0" xfId="23" applyNumberFormat="1" applyFont="1"/>
    <xf numFmtId="10" fontId="3" fillId="6" borderId="9" xfId="36" applyNumberFormat="1" applyFont="1" applyFill="1" applyBorder="1" applyProtection="1"/>
    <xf numFmtId="10" fontId="3" fillId="0" borderId="9" xfId="36" applyNumberFormat="1" applyFont="1" applyBorder="1" applyProtection="1"/>
    <xf numFmtId="10" fontId="13" fillId="4" borderId="11" xfId="23" applyNumberFormat="1" applyFill="1" applyBorder="1"/>
    <xf numFmtId="0" fontId="16" fillId="0" borderId="8" xfId="23" applyFont="1" applyBorder="1"/>
    <xf numFmtId="0" fontId="3" fillId="0" borderId="9" xfId="23" applyFont="1" applyBorder="1"/>
    <xf numFmtId="0" fontId="41" fillId="0" borderId="0" xfId="23" applyFont="1"/>
    <xf numFmtId="2" fontId="13" fillId="6" borderId="10" xfId="23" applyNumberFormat="1" applyFill="1" applyBorder="1"/>
    <xf numFmtId="0" fontId="0" fillId="0" borderId="0" xfId="0" applyAlignment="1">
      <alignment horizontal="center" vertical="center"/>
    </xf>
    <xf numFmtId="0" fontId="20" fillId="3" borderId="0" xfId="0" applyFont="1" applyFill="1" applyAlignment="1">
      <alignment horizontal="center" vertical="top"/>
    </xf>
    <xf numFmtId="2" fontId="20" fillId="3" borderId="0" xfId="0" applyNumberFormat="1" applyFont="1" applyFill="1" applyAlignment="1">
      <alignment horizontal="center" vertical="top"/>
    </xf>
    <xf numFmtId="0" fontId="16" fillId="12" borderId="3" xfId="0" applyFont="1" applyFill="1" applyBorder="1" applyAlignment="1" applyProtection="1">
      <alignment horizontal="center" vertical="center" wrapText="1"/>
      <protection locked="0"/>
    </xf>
    <xf numFmtId="0" fontId="16" fillId="12" borderId="3" xfId="0" applyFont="1" applyFill="1" applyBorder="1" applyAlignment="1" applyProtection="1">
      <alignment horizontal="center"/>
      <protection locked="0"/>
    </xf>
    <xf numFmtId="0" fontId="0" fillId="0" borderId="0" xfId="0" applyAlignment="1">
      <alignment horizontal="center" vertical="center" wrapText="1"/>
    </xf>
    <xf numFmtId="0" fontId="16" fillId="12" borderId="9" xfId="0" applyFont="1" applyFill="1" applyBorder="1" applyAlignment="1" applyProtection="1">
      <alignment horizontal="center" vertical="center" wrapText="1"/>
      <protection locked="0"/>
    </xf>
    <xf numFmtId="2" fontId="16" fillId="12" borderId="9" xfId="0" applyNumberFormat="1" applyFont="1" applyFill="1" applyBorder="1" applyAlignment="1" applyProtection="1">
      <alignment horizontal="center" vertical="center" wrapText="1"/>
      <protection locked="0"/>
    </xf>
    <xf numFmtId="0" fontId="16" fillId="9" borderId="28" xfId="0" applyFont="1" applyFill="1" applyBorder="1" applyAlignment="1" applyProtection="1">
      <alignment horizontal="center"/>
      <protection locked="0"/>
    </xf>
    <xf numFmtId="2" fontId="17" fillId="12" borderId="0" xfId="0" applyNumberFormat="1" applyFont="1" applyFill="1" applyAlignment="1">
      <alignment horizontal="center" vertical="center"/>
    </xf>
    <xf numFmtId="49" fontId="16" fillId="9" borderId="9" xfId="0" quotePrefix="1" applyNumberFormat="1" applyFont="1" applyFill="1" applyBorder="1" applyAlignment="1" applyProtection="1">
      <alignment horizontal="center" wrapText="1"/>
      <protection locked="0"/>
    </xf>
    <xf numFmtId="0" fontId="12" fillId="15" borderId="0" xfId="0" applyFont="1" applyFill="1" applyProtection="1">
      <protection locked="0"/>
    </xf>
    <xf numFmtId="0" fontId="12" fillId="19" borderId="0" xfId="0" applyFont="1" applyFill="1" applyProtection="1">
      <protection locked="0"/>
    </xf>
    <xf numFmtId="0" fontId="0" fillId="15" borderId="0" xfId="0" applyFill="1" applyProtection="1">
      <protection locked="0"/>
    </xf>
    <xf numFmtId="0" fontId="12" fillId="15" borderId="0" xfId="0" applyFont="1" applyFill="1" applyAlignment="1" applyProtection="1">
      <alignment horizontal="center"/>
      <protection locked="0"/>
    </xf>
    <xf numFmtId="0" fontId="16" fillId="0" borderId="0" xfId="0" applyFont="1" applyAlignment="1">
      <alignment horizontal="center"/>
    </xf>
    <xf numFmtId="0" fontId="16" fillId="3" borderId="0" xfId="0" applyFont="1" applyFill="1" applyAlignment="1">
      <alignment horizontal="left"/>
    </xf>
    <xf numFmtId="0" fontId="16" fillId="3" borderId="0" xfId="0" applyFont="1" applyFill="1" applyAlignment="1">
      <alignment horizontal="right"/>
    </xf>
    <xf numFmtId="0" fontId="18" fillId="3" borderId="0" xfId="0" applyFont="1" applyFill="1" applyAlignment="1">
      <alignment horizontal="center"/>
    </xf>
    <xf numFmtId="0" fontId="18" fillId="3" borderId="0" xfId="0" applyFont="1" applyFill="1"/>
    <xf numFmtId="0" fontId="16" fillId="3" borderId="0" xfId="0" applyFont="1" applyFill="1" applyAlignment="1">
      <alignment horizontal="center"/>
    </xf>
    <xf numFmtId="0" fontId="17" fillId="9" borderId="9" xfId="0" applyFont="1" applyFill="1" applyBorder="1" applyAlignment="1">
      <alignment horizontal="center"/>
    </xf>
    <xf numFmtId="0" fontId="17" fillId="12" borderId="9" xfId="0" applyFont="1" applyFill="1" applyBorder="1" applyAlignment="1">
      <alignment horizontal="center"/>
    </xf>
    <xf numFmtId="0" fontId="24" fillId="3" borderId="0" xfId="0" applyFont="1" applyFill="1" applyAlignment="1">
      <alignment horizontal="right"/>
    </xf>
    <xf numFmtId="0" fontId="16" fillId="3" borderId="0" xfId="0" applyFont="1" applyFill="1" applyAlignment="1">
      <alignment horizontal="center" wrapText="1"/>
    </xf>
    <xf numFmtId="14" fontId="16" fillId="3" borderId="0" xfId="1" applyNumberFormat="1" applyFont="1" applyFill="1" applyBorder="1" applyAlignment="1" applyProtection="1">
      <alignment horizontal="center"/>
    </xf>
    <xf numFmtId="0" fontId="24" fillId="3" borderId="47" xfId="0" applyFont="1" applyFill="1" applyBorder="1" applyAlignment="1">
      <alignment horizontal="right"/>
    </xf>
    <xf numFmtId="0" fontId="24" fillId="3" borderId="48" xfId="0" applyFont="1" applyFill="1" applyBorder="1"/>
    <xf numFmtId="0" fontId="22" fillId="3" borderId="0" xfId="0" applyFont="1" applyFill="1" applyAlignment="1">
      <alignment horizontal="center"/>
    </xf>
    <xf numFmtId="3" fontId="24" fillId="3" borderId="0" xfId="0" applyNumberFormat="1" applyFont="1" applyFill="1" applyAlignment="1">
      <alignment horizontal="right"/>
    </xf>
    <xf numFmtId="2" fontId="24" fillId="3" borderId="0" xfId="0" applyNumberFormat="1" applyFont="1" applyFill="1" applyAlignment="1">
      <alignment horizontal="right"/>
    </xf>
    <xf numFmtId="0" fontId="17" fillId="3" borderId="0" xfId="0" applyFont="1" applyFill="1" applyAlignment="1">
      <alignment horizontal="left" wrapText="1"/>
    </xf>
    <xf numFmtId="14" fontId="16" fillId="3" borderId="0" xfId="1" applyNumberFormat="1" applyFont="1" applyFill="1" applyBorder="1" applyAlignment="1" applyProtection="1">
      <alignment horizontal="center" vertical="center"/>
    </xf>
    <xf numFmtId="0" fontId="16" fillId="3" borderId="0" xfId="0" applyFont="1" applyFill="1" applyAlignment="1">
      <alignment vertical="center"/>
    </xf>
    <xf numFmtId="0" fontId="16" fillId="3" borderId="0" xfId="0" applyFont="1" applyFill="1" applyAlignment="1">
      <alignment horizontal="center" vertical="center" wrapText="1"/>
    </xf>
    <xf numFmtId="0" fontId="24" fillId="3" borderId="49" xfId="0" applyFont="1" applyFill="1" applyBorder="1" applyAlignment="1">
      <alignment horizontal="right"/>
    </xf>
    <xf numFmtId="0" fontId="24" fillId="3" borderId="50" xfId="0" applyFont="1" applyFill="1" applyBorder="1" applyAlignment="1">
      <alignment horizontal="right"/>
    </xf>
    <xf numFmtId="0" fontId="24" fillId="3" borderId="50" xfId="0" applyFont="1" applyFill="1" applyBorder="1"/>
    <xf numFmtId="0" fontId="24" fillId="3" borderId="51" xfId="0" applyFont="1" applyFill="1" applyBorder="1"/>
    <xf numFmtId="0" fontId="16" fillId="13" borderId="9" xfId="0" applyFont="1" applyFill="1" applyBorder="1" applyAlignment="1">
      <alignment horizontal="center" vertical="center" wrapText="1"/>
    </xf>
    <xf numFmtId="0" fontId="19" fillId="3" borderId="0" xfId="0" applyFont="1" applyFill="1" applyAlignment="1">
      <alignment horizontal="center"/>
    </xf>
    <xf numFmtId="164" fontId="17" fillId="3" borderId="0" xfId="0" applyNumberFormat="1" applyFont="1" applyFill="1" applyAlignment="1">
      <alignment horizontal="center" vertical="center" wrapText="1"/>
    </xf>
    <xf numFmtId="164" fontId="16" fillId="3" borderId="0" xfId="0" applyNumberFormat="1" applyFont="1" applyFill="1"/>
    <xf numFmtId="0" fontId="20" fillId="3" borderId="0" xfId="0" applyFont="1" applyFill="1" applyAlignment="1">
      <alignment vertical="top" wrapText="1"/>
    </xf>
    <xf numFmtId="167" fontId="16" fillId="3" borderId="0" xfId="0" applyNumberFormat="1" applyFont="1" applyFill="1"/>
    <xf numFmtId="9" fontId="16" fillId="3" borderId="0" xfId="0" applyNumberFormat="1" applyFont="1" applyFill="1"/>
    <xf numFmtId="4" fontId="16" fillId="0" borderId="0" xfId="0" applyNumberFormat="1" applyFont="1" applyAlignment="1">
      <alignment horizontal="center" vertical="center"/>
    </xf>
    <xf numFmtId="0" fontId="17" fillId="14" borderId="0" xfId="0" applyFont="1" applyFill="1"/>
    <xf numFmtId="0" fontId="16" fillId="3" borderId="0" xfId="0" applyFont="1" applyFill="1" applyAlignment="1">
      <alignment horizontal="center" vertical="center"/>
    </xf>
    <xf numFmtId="0" fontId="16" fillId="19" borderId="38" xfId="0" applyFont="1" applyFill="1" applyBorder="1" applyProtection="1">
      <protection locked="0"/>
    </xf>
    <xf numFmtId="0" fontId="40"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left" wrapText="1"/>
    </xf>
    <xf numFmtId="0" fontId="0" fillId="0" borderId="14" xfId="0" applyBorder="1" applyAlignment="1">
      <alignment horizontal="left" vertical="top" wrapText="1"/>
    </xf>
    <xf numFmtId="0" fontId="0" fillId="0" borderId="14" xfId="0" applyBorder="1" applyAlignment="1">
      <alignment horizontal="center" vertical="center"/>
    </xf>
    <xf numFmtId="0" fontId="0" fillId="0" borderId="15" xfId="0" applyBorder="1" applyAlignment="1">
      <alignment horizontal="left" vertical="top" wrapText="1"/>
    </xf>
    <xf numFmtId="0" fontId="0" fillId="0" borderId="15" xfId="0" applyBorder="1" applyAlignment="1">
      <alignment horizontal="center" vertical="center"/>
    </xf>
    <xf numFmtId="0" fontId="12" fillId="3" borderId="0" xfId="0" applyFont="1" applyFill="1" applyAlignment="1">
      <alignment horizontal="left" vertical="center"/>
    </xf>
    <xf numFmtId="0" fontId="30" fillId="3" borderId="0" xfId="0" applyFont="1" applyFill="1"/>
    <xf numFmtId="0" fontId="12" fillId="0" borderId="0" xfId="0" applyFont="1"/>
    <xf numFmtId="0" fontId="12" fillId="3" borderId="0" xfId="0" applyFont="1" applyFill="1"/>
    <xf numFmtId="0" fontId="15" fillId="3" borderId="0" xfId="0" applyFont="1" applyFill="1" applyAlignment="1">
      <alignment horizontal="right"/>
    </xf>
    <xf numFmtId="0" fontId="25" fillId="3" borderId="0" xfId="0" applyFont="1" applyFill="1"/>
    <xf numFmtId="0" fontId="12" fillId="3" borderId="0" xfId="0" applyFont="1" applyFill="1" applyAlignment="1">
      <alignment wrapText="1"/>
    </xf>
    <xf numFmtId="0" fontId="24" fillId="3" borderId="0" xfId="0" applyFont="1" applyFill="1" applyAlignment="1">
      <alignment horizontal="center"/>
    </xf>
    <xf numFmtId="0" fontId="17" fillId="3" borderId="56" xfId="0" applyFont="1" applyFill="1" applyBorder="1" applyAlignment="1">
      <alignment horizontal="left"/>
    </xf>
    <xf numFmtId="9" fontId="16" fillId="8" borderId="43" xfId="0" applyNumberFormat="1" applyFont="1" applyFill="1" applyBorder="1" applyAlignment="1">
      <alignment horizontal="center"/>
    </xf>
    <xf numFmtId="0" fontId="17" fillId="3" borderId="37" xfId="0" applyFont="1" applyFill="1" applyBorder="1" applyAlignment="1">
      <alignment horizontal="left"/>
    </xf>
    <xf numFmtId="2" fontId="16" fillId="8" borderId="38" xfId="0" applyNumberFormat="1" applyFont="1" applyFill="1" applyBorder="1"/>
    <xf numFmtId="169" fontId="16" fillId="8" borderId="43" xfId="0" applyNumberFormat="1" applyFont="1" applyFill="1" applyBorder="1"/>
    <xf numFmtId="0" fontId="15" fillId="0" borderId="0" xfId="0" applyFont="1" applyAlignment="1">
      <alignment horizontal="right"/>
    </xf>
    <xf numFmtId="0" fontId="0" fillId="0" borderId="41" xfId="0" applyBorder="1" applyAlignment="1">
      <alignment horizontal="center" vertical="top" wrapText="1"/>
    </xf>
    <xf numFmtId="0" fontId="22" fillId="3" borderId="0" xfId="0" applyFont="1" applyFill="1" applyAlignment="1">
      <alignment horizontal="left"/>
    </xf>
    <xf numFmtId="0" fontId="15" fillId="3" borderId="0" xfId="0" applyFont="1" applyFill="1" applyAlignment="1">
      <alignment horizontal="left" vertical="center" textRotation="90"/>
    </xf>
    <xf numFmtId="0" fontId="0" fillId="0" borderId="32" xfId="0" applyBorder="1" applyAlignment="1">
      <alignment horizontal="center" vertical="top" wrapText="1"/>
    </xf>
    <xf numFmtId="0" fontId="25" fillId="3" borderId="0" xfId="0" applyFont="1" applyFill="1" applyAlignment="1">
      <alignment vertical="center"/>
    </xf>
    <xf numFmtId="0" fontId="12" fillId="0" borderId="33" xfId="0" applyFont="1" applyBorder="1"/>
    <xf numFmtId="0" fontId="15" fillId="3" borderId="0" xfId="0" applyFont="1" applyFill="1" applyAlignment="1">
      <alignment horizontal="right" vertical="center"/>
    </xf>
    <xf numFmtId="0" fontId="15" fillId="3" borderId="32" xfId="0" applyFont="1" applyFill="1" applyBorder="1" applyAlignment="1">
      <alignment vertical="center"/>
    </xf>
    <xf numFmtId="0" fontId="12" fillId="3" borderId="32" xfId="0" applyFont="1" applyFill="1" applyBorder="1"/>
    <xf numFmtId="0" fontId="12" fillId="3" borderId="32" xfId="0" applyFont="1" applyFill="1" applyBorder="1" applyAlignment="1">
      <alignment wrapText="1"/>
    </xf>
    <xf numFmtId="0" fontId="15" fillId="3" borderId="32" xfId="0" applyFont="1" applyFill="1" applyBorder="1"/>
    <xf numFmtId="0" fontId="15" fillId="3" borderId="32" xfId="0" applyFont="1" applyFill="1" applyBorder="1" applyAlignment="1">
      <alignment horizontal="right"/>
    </xf>
    <xf numFmtId="0" fontId="12" fillId="3" borderId="43" xfId="0" applyFont="1" applyFill="1" applyBorder="1" applyAlignment="1">
      <alignment wrapText="1"/>
    </xf>
    <xf numFmtId="4" fontId="24" fillId="3" borderId="0" xfId="0" applyNumberFormat="1" applyFont="1" applyFill="1"/>
    <xf numFmtId="0" fontId="12" fillId="3" borderId="41" xfId="0" applyFont="1" applyFill="1" applyBorder="1"/>
    <xf numFmtId="0" fontId="15" fillId="3" borderId="0" xfId="0" applyFont="1" applyFill="1" applyAlignment="1">
      <alignment vertical="center"/>
    </xf>
    <xf numFmtId="0" fontId="15" fillId="0" borderId="0" xfId="0" applyFont="1" applyAlignment="1">
      <alignment vertical="center"/>
    </xf>
    <xf numFmtId="2" fontId="24" fillId="3" borderId="0" xfId="0" applyNumberFormat="1" applyFont="1" applyFill="1"/>
    <xf numFmtId="0" fontId="12" fillId="3" borderId="33" xfId="0" applyFont="1" applyFill="1" applyBorder="1"/>
    <xf numFmtId="0" fontId="15" fillId="3" borderId="33" xfId="0" applyFont="1" applyFill="1" applyBorder="1" applyAlignment="1">
      <alignment horizontal="right" vertical="center"/>
    </xf>
    <xf numFmtId="0" fontId="15" fillId="3" borderId="33" xfId="0" applyFont="1" applyFill="1" applyBorder="1" applyAlignment="1">
      <alignment horizontal="right"/>
    </xf>
    <xf numFmtId="0" fontId="0" fillId="3" borderId="33" xfId="0" applyFill="1" applyBorder="1"/>
    <xf numFmtId="0" fontId="15" fillId="3" borderId="33" xfId="0" applyFont="1" applyFill="1" applyBorder="1"/>
    <xf numFmtId="0" fontId="15" fillId="0" borderId="33" xfId="0" applyFont="1" applyBorder="1"/>
    <xf numFmtId="0" fontId="12" fillId="3" borderId="0" xfId="0" applyFont="1" applyFill="1" applyAlignment="1">
      <alignment vertical="center"/>
    </xf>
    <xf numFmtId="0" fontId="0" fillId="15" borderId="41" xfId="0" applyFill="1" applyBorder="1"/>
    <xf numFmtId="0" fontId="12" fillId="3" borderId="42" xfId="0" applyFont="1" applyFill="1" applyBorder="1"/>
    <xf numFmtId="0" fontId="28" fillId="0" borderId="0" xfId="0" applyFont="1"/>
    <xf numFmtId="0" fontId="25" fillId="3" borderId="40" xfId="0" applyFont="1" applyFill="1" applyBorder="1"/>
    <xf numFmtId="0" fontId="12" fillId="3" borderId="40" xfId="0" applyFont="1" applyFill="1" applyBorder="1"/>
    <xf numFmtId="0" fontId="15" fillId="3" borderId="40" xfId="0" applyFont="1" applyFill="1" applyBorder="1" applyAlignment="1">
      <alignment horizontal="right"/>
    </xf>
    <xf numFmtId="0" fontId="12" fillId="0" borderId="40" xfId="0" applyFont="1" applyBorder="1"/>
    <xf numFmtId="0" fontId="12" fillId="3" borderId="44" xfId="0" applyFont="1" applyFill="1" applyBorder="1"/>
    <xf numFmtId="9" fontId="12" fillId="3" borderId="0" xfId="0" applyNumberFormat="1" applyFont="1" applyFill="1"/>
    <xf numFmtId="0" fontId="15" fillId="3" borderId="0" xfId="0" applyFont="1" applyFill="1" applyAlignment="1">
      <alignment vertical="center" textRotation="90"/>
    </xf>
    <xf numFmtId="0" fontId="12" fillId="3" borderId="0" xfId="0" applyFont="1" applyFill="1" applyAlignment="1">
      <alignment horizontal="left" wrapText="1"/>
    </xf>
    <xf numFmtId="0" fontId="12" fillId="3" borderId="41" xfId="0" applyFont="1" applyFill="1" applyBorder="1" applyAlignment="1">
      <alignment horizontal="left" wrapText="1"/>
    </xf>
    <xf numFmtId="0" fontId="12" fillId="0" borderId="41" xfId="0" applyFont="1" applyBorder="1"/>
    <xf numFmtId="1" fontId="24" fillId="3" borderId="0" xfId="0" applyNumberFormat="1" applyFont="1" applyFill="1"/>
    <xf numFmtId="4" fontId="12" fillId="3" borderId="0" xfId="0" applyNumberFormat="1" applyFont="1" applyFill="1" applyAlignment="1">
      <alignment wrapText="1"/>
    </xf>
    <xf numFmtId="0" fontId="12" fillId="3" borderId="32" xfId="0" applyFont="1" applyFill="1" applyBorder="1" applyAlignment="1">
      <alignment horizontal="left"/>
    </xf>
    <xf numFmtId="0" fontId="12" fillId="3" borderId="0" xfId="0" applyFont="1" applyFill="1" applyAlignment="1">
      <alignment horizontal="right"/>
    </xf>
    <xf numFmtId="4" fontId="12" fillId="3" borderId="0" xfId="0" applyNumberFormat="1" applyFont="1" applyFill="1" applyAlignment="1">
      <alignment horizontal="left" wrapText="1"/>
    </xf>
    <xf numFmtId="4" fontId="15" fillId="3" borderId="32" xfId="0" applyNumberFormat="1" applyFont="1" applyFill="1" applyBorder="1" applyAlignment="1">
      <alignment horizontal="left"/>
    </xf>
    <xf numFmtId="0" fontId="12" fillId="3" borderId="0" xfId="0" applyFont="1" applyFill="1" applyAlignment="1">
      <alignment horizontal="left"/>
    </xf>
    <xf numFmtId="4" fontId="15" fillId="3" borderId="0" xfId="0" applyNumberFormat="1" applyFont="1" applyFill="1" applyAlignment="1">
      <alignment horizontal="left"/>
    </xf>
    <xf numFmtId="0" fontId="12" fillId="3" borderId="32" xfId="0" applyFont="1" applyFill="1" applyBorder="1" applyAlignment="1">
      <alignment horizontal="left" wrapText="1"/>
    </xf>
    <xf numFmtId="0" fontId="12" fillId="3" borderId="43" xfId="0" applyFont="1" applyFill="1" applyBorder="1" applyAlignment="1">
      <alignment horizontal="left" wrapText="1"/>
    </xf>
    <xf numFmtId="0" fontId="22" fillId="0" borderId="0" xfId="0" applyFont="1" applyAlignment="1">
      <alignment vertical="center" wrapText="1"/>
    </xf>
    <xf numFmtId="0" fontId="25" fillId="3" borderId="33" xfId="0" applyFont="1" applyFill="1" applyBorder="1"/>
    <xf numFmtId="0" fontId="27" fillId="3" borderId="33" xfId="0" applyFont="1" applyFill="1" applyBorder="1"/>
    <xf numFmtId="0" fontId="12" fillId="3" borderId="32" xfId="0" applyFont="1" applyFill="1" applyBorder="1" applyAlignment="1">
      <alignment horizontal="center"/>
    </xf>
    <xf numFmtId="0" fontId="12" fillId="3" borderId="43" xfId="0" applyFont="1" applyFill="1" applyBorder="1"/>
    <xf numFmtId="0" fontId="22" fillId="0" borderId="0" xfId="0" applyFont="1"/>
    <xf numFmtId="0" fontId="0" fillId="3" borderId="33" xfId="0" applyFill="1" applyBorder="1" applyAlignment="1">
      <alignment horizontal="right"/>
    </xf>
    <xf numFmtId="0" fontId="0" fillId="3" borderId="0" xfId="0" applyFill="1" applyAlignment="1">
      <alignment horizontal="right"/>
    </xf>
    <xf numFmtId="0" fontId="0" fillId="3" borderId="32" xfId="0" applyFill="1" applyBorder="1"/>
    <xf numFmtId="0" fontId="0" fillId="3" borderId="32" xfId="0" applyFill="1" applyBorder="1" applyAlignment="1">
      <alignment horizontal="right"/>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4" fontId="17" fillId="3" borderId="7" xfId="0" applyNumberFormat="1" applyFont="1" applyFill="1" applyBorder="1" applyAlignment="1">
      <alignment horizontal="left"/>
    </xf>
    <xf numFmtId="0" fontId="16" fillId="3" borderId="6" xfId="0" applyFont="1" applyFill="1" applyBorder="1" applyAlignment="1">
      <alignment horizontal="right"/>
    </xf>
    <xf numFmtId="2" fontId="17" fillId="3" borderId="7" xfId="0" applyNumberFormat="1" applyFont="1" applyFill="1" applyBorder="1" applyAlignment="1">
      <alignment horizontal="left"/>
    </xf>
    <xf numFmtId="0" fontId="12" fillId="3" borderId="32" xfId="0" applyFont="1" applyFill="1" applyBorder="1" applyAlignment="1">
      <alignment horizontal="right"/>
    </xf>
    <xf numFmtId="4" fontId="17" fillId="3" borderId="11" xfId="0" applyNumberFormat="1" applyFont="1" applyFill="1" applyBorder="1" applyAlignment="1">
      <alignment horizontal="left"/>
    </xf>
    <xf numFmtId="0" fontId="15" fillId="3" borderId="32" xfId="0" applyFont="1" applyFill="1" applyBorder="1" applyAlignment="1">
      <alignment vertical="top"/>
    </xf>
    <xf numFmtId="0" fontId="24" fillId="3" borderId="0" xfId="0" applyFont="1" applyFill="1" applyAlignment="1">
      <alignment horizontal="left"/>
    </xf>
    <xf numFmtId="0" fontId="15" fillId="3" borderId="0" xfId="0" applyFont="1" applyFill="1" applyAlignment="1">
      <alignment horizontal="left"/>
    </xf>
    <xf numFmtId="0" fontId="15" fillId="3" borderId="32" xfId="0" applyFont="1" applyFill="1" applyBorder="1" applyAlignment="1">
      <alignment horizontal="left"/>
    </xf>
    <xf numFmtId="0" fontId="12" fillId="3" borderId="32" xfId="0" applyFont="1" applyFill="1" applyBorder="1" applyAlignment="1">
      <alignment horizontal="center" vertical="top"/>
    </xf>
    <xf numFmtId="0" fontId="12" fillId="3" borderId="33" xfId="0" applyFont="1" applyFill="1" applyBorder="1" applyAlignment="1">
      <alignment vertical="top" wrapText="1"/>
    </xf>
    <xf numFmtId="0" fontId="12" fillId="3" borderId="33" xfId="0" applyFont="1" applyFill="1" applyBorder="1" applyAlignment="1">
      <alignment horizontal="right" vertical="top"/>
    </xf>
    <xf numFmtId="1" fontId="12" fillId="3" borderId="33" xfId="0" applyNumberFormat="1" applyFont="1" applyFill="1" applyBorder="1" applyAlignment="1">
      <alignment vertical="top" wrapText="1"/>
    </xf>
    <xf numFmtId="0" fontId="12" fillId="3" borderId="33" xfId="0" applyFont="1" applyFill="1" applyBorder="1" applyAlignment="1">
      <alignment vertical="top"/>
    </xf>
    <xf numFmtId="0" fontId="12" fillId="16" borderId="32" xfId="0" applyFont="1" applyFill="1" applyBorder="1"/>
    <xf numFmtId="0" fontId="15" fillId="16" borderId="32" xfId="0" applyFont="1" applyFill="1" applyBorder="1"/>
    <xf numFmtId="4" fontId="15" fillId="16" borderId="32" xfId="0" applyNumberFormat="1" applyFont="1" applyFill="1" applyBorder="1" applyAlignment="1">
      <alignment horizontal="center"/>
    </xf>
    <xf numFmtId="1" fontId="15" fillId="16" borderId="32" xfId="0" applyNumberFormat="1" applyFont="1" applyFill="1" applyBorder="1" applyAlignment="1">
      <alignment horizontal="right"/>
    </xf>
    <xf numFmtId="4" fontId="15" fillId="16" borderId="32" xfId="0" applyNumberFormat="1" applyFont="1" applyFill="1" applyBorder="1" applyAlignment="1">
      <alignment horizontal="center" wrapText="1"/>
    </xf>
    <xf numFmtId="4" fontId="15" fillId="16" borderId="43" xfId="0" applyNumberFormat="1" applyFont="1" applyFill="1" applyBorder="1" applyAlignment="1">
      <alignment horizontal="center" wrapText="1"/>
    </xf>
    <xf numFmtId="0" fontId="12" fillId="16" borderId="0" xfId="0" applyFont="1" applyFill="1"/>
    <xf numFmtId="0" fontId="15" fillId="16" borderId="0" xfId="0" applyFont="1" applyFill="1"/>
    <xf numFmtId="4" fontId="15" fillId="16" borderId="0" xfId="0" applyNumberFormat="1" applyFont="1" applyFill="1" applyAlignment="1">
      <alignment horizontal="center"/>
    </xf>
    <xf numFmtId="1" fontId="15" fillId="16" borderId="0" xfId="0" applyNumberFormat="1" applyFont="1" applyFill="1" applyAlignment="1">
      <alignment horizontal="right"/>
    </xf>
    <xf numFmtId="4" fontId="15" fillId="16" borderId="0" xfId="0" applyNumberFormat="1" applyFont="1" applyFill="1" applyAlignment="1">
      <alignment horizontal="center" wrapText="1"/>
    </xf>
    <xf numFmtId="4" fontId="15" fillId="16" borderId="41" xfId="0" applyNumberFormat="1" applyFont="1" applyFill="1" applyBorder="1" applyAlignment="1">
      <alignment horizontal="center" wrapText="1"/>
    </xf>
    <xf numFmtId="1" fontId="15" fillId="0" borderId="0" xfId="0" applyNumberFormat="1" applyFont="1" applyAlignment="1">
      <alignment horizontal="right"/>
    </xf>
    <xf numFmtId="1" fontId="12" fillId="3" borderId="32" xfId="0" applyNumberFormat="1" applyFont="1" applyFill="1" applyBorder="1" applyAlignment="1">
      <alignment wrapText="1"/>
    </xf>
    <xf numFmtId="1" fontId="12" fillId="3" borderId="32" xfId="0" applyNumberFormat="1" applyFont="1" applyFill="1" applyBorder="1" applyAlignment="1">
      <alignment horizontal="left" wrapText="1"/>
    </xf>
    <xf numFmtId="0" fontId="12" fillId="3" borderId="33" xfId="0" applyFont="1" applyFill="1" applyBorder="1" applyAlignment="1">
      <alignment horizontal="right"/>
    </xf>
    <xf numFmtId="1" fontId="12" fillId="3" borderId="33" xfId="0" applyNumberFormat="1" applyFont="1" applyFill="1" applyBorder="1" applyAlignment="1">
      <alignment wrapText="1"/>
    </xf>
    <xf numFmtId="0" fontId="12" fillId="3" borderId="33" xfId="0" applyFont="1" applyFill="1" applyBorder="1" applyAlignment="1">
      <alignment wrapText="1"/>
    </xf>
    <xf numFmtId="1" fontId="12" fillId="3" borderId="33" xfId="0" applyNumberFormat="1" applyFont="1" applyFill="1" applyBorder="1" applyAlignment="1">
      <alignment horizontal="left" wrapText="1"/>
    </xf>
    <xf numFmtId="0" fontId="12" fillId="3" borderId="33" xfId="0" applyFont="1" applyFill="1" applyBorder="1" applyAlignment="1">
      <alignment horizontal="left" wrapText="1"/>
    </xf>
    <xf numFmtId="0" fontId="12" fillId="3" borderId="42" xfId="0" applyFont="1" applyFill="1" applyBorder="1" applyAlignment="1">
      <alignment horizontal="left" wrapText="1"/>
    </xf>
    <xf numFmtId="1" fontId="12" fillId="3" borderId="0" xfId="0" applyNumberFormat="1" applyFont="1" applyFill="1" applyAlignment="1">
      <alignment wrapText="1"/>
    </xf>
    <xf numFmtId="0" fontId="12" fillId="0" borderId="0" xfId="0" applyFont="1" applyAlignment="1">
      <alignment wrapText="1"/>
    </xf>
    <xf numFmtId="0" fontId="12" fillId="3" borderId="36" xfId="0" applyFont="1" applyFill="1" applyBorder="1" applyAlignment="1">
      <alignment horizontal="left" vertical="center" textRotation="90" wrapText="1"/>
    </xf>
    <xf numFmtId="0" fontId="12" fillId="3" borderId="36" xfId="0" applyFont="1" applyFill="1" applyBorder="1"/>
    <xf numFmtId="0" fontId="15" fillId="3" borderId="36" xfId="0" applyFont="1" applyFill="1" applyBorder="1" applyAlignment="1">
      <alignment horizontal="right"/>
    </xf>
    <xf numFmtId="0" fontId="12" fillId="3" borderId="36" xfId="0" applyFont="1" applyFill="1" applyBorder="1" applyAlignment="1">
      <alignment horizontal="right"/>
    </xf>
    <xf numFmtId="1" fontId="12" fillId="3" borderId="36" xfId="0" applyNumberFormat="1" applyFont="1" applyFill="1" applyBorder="1" applyAlignment="1">
      <alignment wrapText="1"/>
    </xf>
    <xf numFmtId="0" fontId="12" fillId="3" borderId="36" xfId="0" applyFont="1" applyFill="1" applyBorder="1" applyAlignment="1">
      <alignment wrapText="1"/>
    </xf>
    <xf numFmtId="1" fontId="12" fillId="3" borderId="36" xfId="0" applyNumberFormat="1" applyFont="1" applyFill="1" applyBorder="1" applyAlignment="1">
      <alignment horizontal="left" wrapText="1"/>
    </xf>
    <xf numFmtId="0" fontId="12" fillId="3" borderId="36" xfId="0" applyFont="1" applyFill="1" applyBorder="1" applyAlignment="1">
      <alignment horizontal="left" wrapText="1"/>
    </xf>
    <xf numFmtId="0" fontId="12" fillId="3" borderId="45" xfId="0" applyFont="1" applyFill="1" applyBorder="1" applyAlignment="1">
      <alignment horizontal="left" wrapText="1"/>
    </xf>
    <xf numFmtId="0" fontId="12" fillId="3" borderId="35" xfId="0" applyFont="1" applyFill="1" applyBorder="1"/>
    <xf numFmtId="0" fontId="15" fillId="3" borderId="35" xfId="0" applyFont="1" applyFill="1" applyBorder="1" applyAlignment="1">
      <alignment horizontal="right"/>
    </xf>
    <xf numFmtId="4" fontId="12" fillId="3" borderId="35" xfId="0" applyNumberFormat="1" applyFont="1" applyFill="1" applyBorder="1"/>
    <xf numFmtId="0" fontId="12" fillId="3" borderId="46" xfId="0" applyFont="1" applyFill="1" applyBorder="1"/>
    <xf numFmtId="4" fontId="12" fillId="3" borderId="0" xfId="0" applyNumberFormat="1" applyFont="1" applyFill="1"/>
    <xf numFmtId="7" fontId="24" fillId="3" borderId="0" xfId="0" applyNumberFormat="1" applyFont="1" applyFill="1"/>
    <xf numFmtId="4" fontId="12" fillId="3" borderId="32" xfId="0" applyNumberFormat="1" applyFont="1" applyFill="1" applyBorder="1"/>
    <xf numFmtId="7" fontId="24" fillId="0" borderId="0" xfId="0" applyNumberFormat="1" applyFont="1"/>
    <xf numFmtId="4" fontId="24" fillId="0" borderId="0" xfId="0" applyNumberFormat="1" applyFont="1"/>
    <xf numFmtId="0" fontId="12" fillId="3" borderId="34" xfId="0" applyFont="1" applyFill="1" applyBorder="1" applyAlignment="1">
      <alignment horizontal="left" vertical="center"/>
    </xf>
    <xf numFmtId="0" fontId="25" fillId="3" borderId="34" xfId="0" applyFont="1" applyFill="1" applyBorder="1"/>
    <xf numFmtId="0" fontId="12" fillId="3" borderId="34" xfId="0" applyFont="1" applyFill="1" applyBorder="1"/>
    <xf numFmtId="0" fontId="15" fillId="3" borderId="34" xfId="0" applyFont="1" applyFill="1" applyBorder="1"/>
    <xf numFmtId="0" fontId="15" fillId="3" borderId="34" xfId="0" applyFont="1" applyFill="1" applyBorder="1" applyAlignment="1">
      <alignment horizontal="right"/>
    </xf>
    <xf numFmtId="0" fontId="12" fillId="0" borderId="0" xfId="0" applyFont="1" applyAlignment="1">
      <alignment horizontal="left" vertical="center"/>
    </xf>
    <xf numFmtId="0" fontId="24" fillId="0" borderId="0" xfId="0" applyFont="1" applyAlignment="1">
      <alignment horizontal="left" vertical="center"/>
    </xf>
    <xf numFmtId="4" fontId="12" fillId="3" borderId="0" xfId="0" applyNumberFormat="1" applyFont="1" applyFill="1" applyAlignment="1">
      <alignment horizontal="left"/>
    </xf>
    <xf numFmtId="4" fontId="12" fillId="3" borderId="32" xfId="0" applyNumberFormat="1" applyFont="1" applyFill="1" applyBorder="1" applyAlignment="1">
      <alignment horizontal="left"/>
    </xf>
    <xf numFmtId="0" fontId="0" fillId="15" borderId="9" xfId="0" applyFill="1" applyBorder="1" applyAlignment="1" applyProtection="1">
      <alignment horizontal="center"/>
      <protection locked="0"/>
    </xf>
    <xf numFmtId="0" fontId="12" fillId="15" borderId="9" xfId="0" applyFont="1" applyFill="1" applyBorder="1" applyAlignment="1" applyProtection="1">
      <alignment horizontal="center"/>
      <protection locked="0"/>
    </xf>
    <xf numFmtId="0" fontId="0" fillId="0" borderId="0" xfId="0" applyAlignment="1">
      <alignment horizontal="center"/>
    </xf>
    <xf numFmtId="3" fontId="0" fillId="0" borderId="0" xfId="0" applyNumberFormat="1"/>
    <xf numFmtId="0" fontId="3" fillId="0" borderId="0" xfId="0" applyFont="1"/>
    <xf numFmtId="165" fontId="12" fillId="0" borderId="0" xfId="1" applyNumberFormat="1" applyFont="1" applyProtection="1"/>
    <xf numFmtId="165" fontId="3" fillId="0" borderId="0" xfId="1" applyNumberFormat="1" applyFont="1" applyProtection="1"/>
    <xf numFmtId="43" fontId="0" fillId="0" borderId="0" xfId="0" applyNumberFormat="1"/>
    <xf numFmtId="0" fontId="3" fillId="4" borderId="0" xfId="0" applyFont="1" applyFill="1"/>
    <xf numFmtId="43" fontId="0" fillId="4" borderId="0" xfId="0" applyNumberFormat="1" applyFill="1"/>
    <xf numFmtId="0" fontId="3" fillId="0" borderId="0" xfId="0" applyFont="1" applyAlignment="1">
      <alignment wrapText="1"/>
    </xf>
    <xf numFmtId="0" fontId="0" fillId="0" borderId="0" xfId="0" applyAlignment="1">
      <alignment wrapText="1"/>
    </xf>
    <xf numFmtId="0" fontId="0" fillId="0" borderId="0" xfId="0" applyAlignment="1">
      <alignment horizontal="right"/>
    </xf>
    <xf numFmtId="43" fontId="12" fillId="0" borderId="9" xfId="1" applyFont="1" applyBorder="1" applyAlignment="1" applyProtection="1">
      <alignment horizontal="center"/>
    </xf>
    <xf numFmtId="2" fontId="0" fillId="0" borderId="0" xfId="0" applyNumberFormat="1" applyAlignment="1">
      <alignment horizontal="right"/>
    </xf>
    <xf numFmtId="2" fontId="0" fillId="17" borderId="0" xfId="0" applyNumberFormat="1" applyFill="1"/>
    <xf numFmtId="2" fontId="0" fillId="0" borderId="0" xfId="0" applyNumberFormat="1"/>
    <xf numFmtId="14" fontId="0" fillId="4" borderId="0" xfId="0" applyNumberFormat="1" applyFill="1"/>
    <xf numFmtId="0" fontId="15" fillId="0" borderId="1" xfId="0" applyFont="1" applyBorder="1" applyAlignment="1">
      <alignment wrapText="1"/>
    </xf>
    <xf numFmtId="0" fontId="15" fillId="0" borderId="1" xfId="0" applyFont="1" applyBorder="1" applyAlignment="1">
      <alignment horizontal="center" wrapText="1"/>
    </xf>
    <xf numFmtId="0" fontId="0" fillId="0" borderId="30" xfId="0" applyBorder="1"/>
    <xf numFmtId="0" fontId="15" fillId="0" borderId="0" xfId="0" applyFont="1" applyAlignment="1">
      <alignment wrapText="1"/>
    </xf>
    <xf numFmtId="0" fontId="15" fillId="0" borderId="0" xfId="0" applyFont="1" applyAlignment="1">
      <alignment horizontal="center" wrapText="1"/>
    </xf>
    <xf numFmtId="0" fontId="0" fillId="0" borderId="39" xfId="0" applyBorder="1"/>
    <xf numFmtId="0" fontId="0" fillId="22" borderId="0" xfId="0" applyFill="1"/>
    <xf numFmtId="2" fontId="0" fillId="22" borderId="0" xfId="0" applyNumberFormat="1" applyFill="1"/>
    <xf numFmtId="0" fontId="15" fillId="0" borderId="2" xfId="0" applyFont="1" applyBorder="1" applyAlignment="1">
      <alignment wrapText="1"/>
    </xf>
    <xf numFmtId="2" fontId="15" fillId="0" borderId="2" xfId="0" applyNumberFormat="1" applyFont="1" applyBorder="1"/>
    <xf numFmtId="2" fontId="15" fillId="0" borderId="0" xfId="0" applyNumberFormat="1" applyFont="1"/>
    <xf numFmtId="0" fontId="0" fillId="0" borderId="31" xfId="0" applyBorder="1"/>
    <xf numFmtId="0" fontId="6" fillId="2" borderId="0" xfId="0" applyFont="1" applyFill="1" applyAlignment="1">
      <alignment horizontal="left" vertical="center"/>
    </xf>
    <xf numFmtId="0" fontId="7" fillId="2" borderId="0" xfId="0" applyFont="1" applyFill="1" applyAlignment="1">
      <alignment horizontal="left" vertical="center"/>
    </xf>
    <xf numFmtId="0" fontId="7" fillId="2" borderId="0" xfId="0" applyFont="1" applyFill="1" applyAlignment="1">
      <alignment horizontal="center" vertical="center"/>
    </xf>
    <xf numFmtId="0" fontId="7" fillId="2" borderId="0" xfId="0" applyFont="1" applyFill="1" applyAlignment="1">
      <alignment horizontal="right" vertical="center"/>
    </xf>
    <xf numFmtId="0" fontId="8" fillId="2" borderId="0" xfId="0" applyFont="1" applyFill="1" applyAlignment="1">
      <alignment vertical="center"/>
    </xf>
    <xf numFmtId="0" fontId="9" fillId="2" borderId="0" xfId="0" applyFont="1" applyFill="1" applyAlignment="1">
      <alignment vertical="center"/>
    </xf>
    <xf numFmtId="0" fontId="10" fillId="2" borderId="0" xfId="0" quotePrefix="1" applyFont="1" applyFill="1" applyAlignment="1">
      <alignment horizontal="left" vertical="center"/>
    </xf>
    <xf numFmtId="2" fontId="10" fillId="2" borderId="0" xfId="0" applyNumberFormat="1" applyFont="1" applyFill="1" applyAlignment="1">
      <alignment horizontal="right" vertical="center"/>
    </xf>
    <xf numFmtId="0" fontId="11" fillId="2" borderId="0" xfId="0" applyFont="1" applyFill="1" applyAlignment="1">
      <alignment horizontal="left"/>
    </xf>
    <xf numFmtId="0" fontId="0" fillId="5" borderId="0" xfId="0" applyFill="1" applyAlignment="1">
      <alignment wrapText="1"/>
    </xf>
    <xf numFmtId="0" fontId="0" fillId="5" borderId="0" xfId="0" applyFill="1"/>
    <xf numFmtId="0" fontId="0" fillId="7" borderId="0" xfId="0" applyFill="1"/>
    <xf numFmtId="0" fontId="0" fillId="6" borderId="0" xfId="0" applyFill="1"/>
    <xf numFmtId="0" fontId="15" fillId="0" borderId="9" xfId="0" applyFont="1" applyBorder="1"/>
    <xf numFmtId="0" fontId="15" fillId="0" borderId="9" xfId="0" applyFont="1" applyBorder="1" applyAlignment="1">
      <alignment wrapText="1"/>
    </xf>
    <xf numFmtId="2" fontId="15" fillId="0" borderId="9" xfId="0" applyNumberFormat="1" applyFont="1" applyBorder="1"/>
    <xf numFmtId="168" fontId="0" fillId="0" borderId="9" xfId="1" applyNumberFormat="1" applyFont="1" applyBorder="1" applyAlignment="1" applyProtection="1">
      <alignment horizontal="left"/>
    </xf>
    <xf numFmtId="15" fontId="10" fillId="3" borderId="0" xfId="46" applyNumberFormat="1" applyFont="1" applyFill="1"/>
    <xf numFmtId="0" fontId="44" fillId="0" borderId="0" xfId="47" applyFont="1" applyAlignment="1">
      <alignment vertical="top"/>
    </xf>
    <xf numFmtId="0" fontId="45" fillId="0" borderId="0" xfId="47" applyFont="1" applyAlignment="1">
      <alignment vertical="top"/>
    </xf>
    <xf numFmtId="15" fontId="10" fillId="0" borderId="0" xfId="47" applyNumberFormat="1" applyFont="1" applyAlignment="1">
      <alignment vertical="top"/>
    </xf>
    <xf numFmtId="15" fontId="44" fillId="0" borderId="0" xfId="47" applyNumberFormat="1" applyFont="1" applyAlignment="1">
      <alignment vertical="top"/>
    </xf>
    <xf numFmtId="0" fontId="44" fillId="0" borderId="0" xfId="47" applyFont="1" applyAlignment="1">
      <alignment horizontal="right" vertical="top"/>
    </xf>
    <xf numFmtId="0" fontId="44" fillId="0" borderId="0" xfId="47" applyFont="1" applyAlignment="1">
      <alignment horizontal="left" vertical="top"/>
    </xf>
    <xf numFmtId="0" fontId="45" fillId="0" borderId="0" xfId="47" applyFont="1" applyAlignment="1">
      <alignment vertical="top" wrapText="1"/>
    </xf>
    <xf numFmtId="0" fontId="44" fillId="0" borderId="0" xfId="47" applyFont="1" applyAlignment="1">
      <alignment vertical="center"/>
    </xf>
    <xf numFmtId="0" fontId="45" fillId="0" borderId="0" xfId="47" applyFont="1" applyAlignment="1">
      <alignment horizontal="justify" vertical="top" wrapText="1"/>
    </xf>
    <xf numFmtId="0" fontId="44" fillId="0" borderId="0" xfId="47" applyFont="1" applyAlignment="1">
      <alignment horizontal="right" vertical="center"/>
    </xf>
    <xf numFmtId="0" fontId="45" fillId="0" borderId="0" xfId="47" applyFont="1" applyAlignment="1">
      <alignment horizontal="justify" vertical="center" wrapText="1"/>
    </xf>
    <xf numFmtId="0" fontId="45" fillId="0" borderId="0" xfId="47" applyFont="1" applyAlignment="1">
      <alignment wrapText="1"/>
    </xf>
    <xf numFmtId="0" fontId="44" fillId="0" borderId="0" xfId="47" applyFont="1" applyAlignment="1">
      <alignment horizontal="justify" vertical="center"/>
    </xf>
    <xf numFmtId="0" fontId="45" fillId="0" borderId="0" xfId="47" applyFont="1"/>
    <xf numFmtId="15" fontId="10" fillId="3" borderId="0" xfId="48" applyNumberFormat="1" applyFont="1" applyFill="1"/>
    <xf numFmtId="15" fontId="45" fillId="0" borderId="9" xfId="47" applyNumberFormat="1" applyFont="1" applyBorder="1" applyAlignment="1">
      <alignment horizontal="justify" vertical="top" wrapText="1"/>
    </xf>
    <xf numFmtId="15" fontId="45" fillId="3" borderId="9" xfId="47" applyNumberFormat="1" applyFont="1" applyFill="1" applyBorder="1" applyAlignment="1">
      <alignment horizontal="justify" vertical="top" wrapText="1"/>
    </xf>
    <xf numFmtId="0" fontId="44" fillId="0" borderId="39" xfId="47" applyFont="1" applyBorder="1" applyAlignment="1">
      <alignment vertical="top"/>
    </xf>
    <xf numFmtId="0" fontId="44" fillId="0" borderId="31" xfId="47" applyFont="1" applyBorder="1" applyAlignment="1">
      <alignment vertical="top"/>
    </xf>
    <xf numFmtId="0" fontId="14" fillId="13" borderId="30" xfId="48" applyFont="1" applyFill="1" applyBorder="1" applyAlignment="1">
      <alignment vertical="top"/>
    </xf>
    <xf numFmtId="0" fontId="45" fillId="9" borderId="39" xfId="48" applyFont="1" applyFill="1" applyBorder="1" applyAlignment="1">
      <alignment vertical="top"/>
    </xf>
    <xf numFmtId="0" fontId="45" fillId="12" borderId="39" xfId="47" applyFont="1" applyFill="1" applyBorder="1" applyAlignment="1">
      <alignment vertical="top"/>
    </xf>
    <xf numFmtId="0" fontId="15" fillId="0" borderId="12" xfId="0" applyFont="1" applyBorder="1" applyAlignment="1">
      <alignment horizontal="left"/>
    </xf>
    <xf numFmtId="0" fontId="15" fillId="0" borderId="2" xfId="0" applyFont="1" applyBorder="1" applyAlignment="1">
      <alignment horizontal="right"/>
    </xf>
    <xf numFmtId="0" fontId="15" fillId="0" borderId="13" xfId="0" applyFont="1" applyBorder="1" applyAlignment="1">
      <alignment horizontal="right"/>
    </xf>
    <xf numFmtId="9" fontId="15" fillId="0" borderId="0" xfId="0" applyNumberFormat="1" applyFont="1" applyAlignment="1">
      <alignment horizontal="right"/>
    </xf>
    <xf numFmtId="0" fontId="0" fillId="0" borderId="18" xfId="0" applyBorder="1"/>
    <xf numFmtId="3" fontId="0" fillId="8" borderId="16" xfId="0" applyNumberFormat="1" applyFill="1" applyBorder="1"/>
    <xf numFmtId="9" fontId="0" fillId="8" borderId="17" xfId="0" applyNumberFormat="1" applyFill="1" applyBorder="1"/>
    <xf numFmtId="9" fontId="0" fillId="0" borderId="0" xfId="0" applyNumberFormat="1"/>
    <xf numFmtId="3" fontId="0" fillId="8" borderId="18" xfId="0" applyNumberFormat="1" applyFill="1" applyBorder="1"/>
    <xf numFmtId="9" fontId="0" fillId="8" borderId="19" xfId="0" applyNumberFormat="1" applyFill="1" applyBorder="1"/>
    <xf numFmtId="166" fontId="0" fillId="8" borderId="17" xfId="0" applyNumberFormat="1" applyFill="1" applyBorder="1"/>
    <xf numFmtId="166" fontId="0" fillId="8" borderId="19" xfId="0" applyNumberFormat="1" applyFill="1" applyBorder="1"/>
    <xf numFmtId="0" fontId="0" fillId="0" borderId="20" xfId="0" applyBorder="1"/>
    <xf numFmtId="0" fontId="0" fillId="8" borderId="20" xfId="0" applyFill="1" applyBorder="1"/>
    <xf numFmtId="9" fontId="0" fillId="8" borderId="21" xfId="0" applyNumberFormat="1" applyFill="1" applyBorder="1"/>
    <xf numFmtId="166" fontId="0" fillId="8" borderId="21" xfId="0" applyNumberFormat="1" applyFill="1" applyBorder="1"/>
    <xf numFmtId="4" fontId="0" fillId="23" borderId="0" xfId="0" applyNumberFormat="1" applyFill="1"/>
    <xf numFmtId="166" fontId="0" fillId="0" borderId="0" xfId="0" applyNumberFormat="1"/>
    <xf numFmtId="174" fontId="0" fillId="0" borderId="0" xfId="0" applyNumberFormat="1"/>
    <xf numFmtId="174" fontId="15" fillId="0" borderId="57" xfId="0" applyNumberFormat="1" applyFont="1" applyBorder="1"/>
    <xf numFmtId="3" fontId="0" fillId="7" borderId="0" xfId="0" applyNumberFormat="1" applyFill="1" applyAlignment="1">
      <alignment horizontal="right"/>
    </xf>
    <xf numFmtId="0" fontId="15" fillId="0" borderId="57" xfId="0" applyFont="1" applyBorder="1"/>
    <xf numFmtId="4" fontId="15" fillId="0" borderId="57" xfId="0" applyNumberFormat="1" applyFont="1" applyBorder="1"/>
    <xf numFmtId="2" fontId="0" fillId="7" borderId="0" xfId="0" applyNumberFormat="1" applyFill="1"/>
    <xf numFmtId="10" fontId="0" fillId="7" borderId="5" xfId="0" applyNumberFormat="1" applyFill="1" applyBorder="1"/>
    <xf numFmtId="10" fontId="0" fillId="7" borderId="7" xfId="0" applyNumberFormat="1" applyFill="1" applyBorder="1"/>
    <xf numFmtId="0" fontId="46" fillId="16" borderId="0" xfId="0" applyFont="1" applyFill="1"/>
    <xf numFmtId="0" fontId="47" fillId="16" borderId="0" xfId="0" applyFont="1" applyFill="1" applyAlignment="1">
      <alignment horizontal="center"/>
    </xf>
    <xf numFmtId="9" fontId="46" fillId="16" borderId="0" xfId="36" applyFont="1" applyFill="1" applyBorder="1" applyProtection="1"/>
    <xf numFmtId="166" fontId="46" fillId="3" borderId="0" xfId="36" applyNumberFormat="1" applyFont="1" applyFill="1" applyBorder="1" applyAlignment="1" applyProtection="1">
      <alignment horizontal="center"/>
    </xf>
    <xf numFmtId="164" fontId="46" fillId="16" borderId="0" xfId="1" applyNumberFormat="1" applyFont="1" applyFill="1" applyBorder="1" applyAlignment="1" applyProtection="1">
      <alignment horizontal="center"/>
    </xf>
    <xf numFmtId="10" fontId="46" fillId="16" borderId="0" xfId="36" applyNumberFormat="1" applyFont="1" applyFill="1" applyBorder="1" applyProtection="1"/>
    <xf numFmtId="164" fontId="46" fillId="16" borderId="0" xfId="1" applyNumberFormat="1" applyFont="1" applyFill="1" applyBorder="1" applyAlignment="1" applyProtection="1">
      <alignment horizontal="right"/>
    </xf>
    <xf numFmtId="0" fontId="46" fillId="16" borderId="0" xfId="0" applyFont="1" applyFill="1" applyAlignment="1">
      <alignment horizontal="left"/>
    </xf>
    <xf numFmtId="0" fontId="46" fillId="16" borderId="0" xfId="0" applyFont="1" applyFill="1" applyAlignment="1">
      <alignment horizontal="right"/>
    </xf>
    <xf numFmtId="0" fontId="46" fillId="16" borderId="0" xfId="0" applyFont="1" applyFill="1" applyAlignment="1">
      <alignment horizontal="center"/>
    </xf>
    <xf numFmtId="0" fontId="46" fillId="16" borderId="0" xfId="0" applyFont="1" applyFill="1" applyAlignment="1">
      <alignment horizontal="right" vertical="center" wrapText="1"/>
    </xf>
    <xf numFmtId="0" fontId="47" fillId="16" borderId="0" xfId="0" applyFont="1" applyFill="1"/>
    <xf numFmtId="0" fontId="47" fillId="16" borderId="0" xfId="0" applyFont="1" applyFill="1" applyAlignment="1">
      <alignment horizontal="left"/>
    </xf>
    <xf numFmtId="164" fontId="46" fillId="16" borderId="0" xfId="0" applyNumberFormat="1" applyFont="1" applyFill="1" applyAlignment="1">
      <alignment horizontal="left"/>
    </xf>
    <xf numFmtId="164" fontId="46" fillId="16" borderId="0" xfId="0" applyNumberFormat="1" applyFont="1" applyFill="1" applyAlignment="1">
      <alignment horizontal="right"/>
    </xf>
    <xf numFmtId="164" fontId="46" fillId="16" borderId="0" xfId="0" applyNumberFormat="1" applyFont="1" applyFill="1" applyAlignment="1">
      <alignment horizontal="center"/>
    </xf>
    <xf numFmtId="0" fontId="47" fillId="16" borderId="0" xfId="0" applyFont="1" applyFill="1" applyAlignment="1">
      <alignment wrapText="1"/>
    </xf>
    <xf numFmtId="1" fontId="46" fillId="16" borderId="0" xfId="1" applyNumberFormat="1" applyFont="1" applyFill="1" applyBorder="1" applyAlignment="1" applyProtection="1">
      <alignment horizontal="right"/>
    </xf>
    <xf numFmtId="1" fontId="46" fillId="16" borderId="0" xfId="0" applyNumberFormat="1" applyFont="1" applyFill="1" applyAlignment="1">
      <alignment horizontal="right"/>
    </xf>
    <xf numFmtId="1" fontId="46" fillId="16" borderId="0" xfId="0" applyNumberFormat="1" applyFont="1" applyFill="1"/>
    <xf numFmtId="164" fontId="46" fillId="16" borderId="0" xfId="0" applyNumberFormat="1" applyFont="1" applyFill="1"/>
    <xf numFmtId="167" fontId="46" fillId="16" borderId="0" xfId="0" applyNumberFormat="1" applyFont="1" applyFill="1" applyAlignment="1">
      <alignment horizontal="left"/>
    </xf>
    <xf numFmtId="43" fontId="46" fillId="16" borderId="0" xfId="0" applyNumberFormat="1" applyFont="1" applyFill="1" applyAlignment="1">
      <alignment horizontal="center"/>
    </xf>
    <xf numFmtId="164" fontId="47" fillId="16" borderId="0" xfId="1" applyNumberFormat="1" applyFont="1" applyFill="1" applyBorder="1" applyAlignment="1" applyProtection="1">
      <alignment horizontal="left"/>
    </xf>
    <xf numFmtId="164" fontId="47" fillId="16" borderId="0" xfId="1" applyNumberFormat="1" applyFont="1" applyFill="1" applyBorder="1" applyAlignment="1" applyProtection="1">
      <alignment horizontal="right"/>
    </xf>
    <xf numFmtId="164" fontId="46" fillId="16" borderId="0" xfId="1" applyNumberFormat="1" applyFont="1" applyFill="1" applyBorder="1" applyProtection="1"/>
    <xf numFmtId="164" fontId="46" fillId="16" borderId="0" xfId="1" applyNumberFormat="1" applyFont="1" applyFill="1" applyBorder="1" applyAlignment="1" applyProtection="1">
      <alignment horizontal="left"/>
    </xf>
    <xf numFmtId="167" fontId="16" fillId="9" borderId="3" xfId="1" applyNumberFormat="1" applyFont="1" applyFill="1" applyBorder="1" applyProtection="1">
      <protection locked="0"/>
    </xf>
    <xf numFmtId="164" fontId="46" fillId="3" borderId="0" xfId="1" applyNumberFormat="1" applyFont="1" applyFill="1" applyBorder="1" applyProtection="1"/>
    <xf numFmtId="167" fontId="46" fillId="16" borderId="0" xfId="1" applyNumberFormat="1" applyFont="1" applyFill="1" applyBorder="1" applyProtection="1"/>
    <xf numFmtId="167" fontId="46" fillId="16" borderId="0" xfId="1" applyNumberFormat="1" applyFont="1" applyFill="1" applyBorder="1" applyProtection="1">
      <protection locked="0"/>
    </xf>
    <xf numFmtId="0" fontId="46" fillId="16" borderId="0" xfId="0" applyFont="1" applyFill="1" applyAlignment="1">
      <alignment wrapText="1"/>
    </xf>
    <xf numFmtId="0" fontId="46" fillId="16" borderId="0" xfId="0" applyFont="1" applyFill="1" applyAlignment="1" applyProtection="1">
      <alignment horizontal="center"/>
      <protection locked="0"/>
    </xf>
    <xf numFmtId="0" fontId="46" fillId="16" borderId="0" xfId="0" applyFont="1" applyFill="1" applyProtection="1">
      <protection locked="0"/>
    </xf>
    <xf numFmtId="10" fontId="46" fillId="16" borderId="0" xfId="36" applyNumberFormat="1" applyFont="1" applyFill="1" applyBorder="1" applyAlignment="1" applyProtection="1">
      <alignment horizontal="center"/>
    </xf>
    <xf numFmtId="168" fontId="46" fillId="16" borderId="0" xfId="1" applyNumberFormat="1" applyFont="1" applyFill="1" applyBorder="1" applyAlignment="1" applyProtection="1">
      <alignment horizontal="center"/>
    </xf>
    <xf numFmtId="9" fontId="46" fillId="16" borderId="0" xfId="36" applyFont="1" applyFill="1" applyBorder="1" applyAlignment="1" applyProtection="1">
      <alignment horizontal="center"/>
    </xf>
    <xf numFmtId="164" fontId="46" fillId="3" borderId="0" xfId="1" applyNumberFormat="1" applyFont="1" applyFill="1" applyBorder="1" applyAlignment="1" applyProtection="1">
      <alignment horizontal="right"/>
    </xf>
    <xf numFmtId="164" fontId="46" fillId="3" borderId="0" xfId="1" applyNumberFormat="1" applyFont="1" applyFill="1" applyBorder="1" applyAlignment="1" applyProtection="1">
      <alignment horizontal="center"/>
    </xf>
    <xf numFmtId="9" fontId="46" fillId="3" borderId="0" xfId="36" applyFont="1" applyFill="1" applyBorder="1" applyProtection="1"/>
    <xf numFmtId="0" fontId="46" fillId="3" borderId="0" xfId="0" applyFont="1" applyFill="1"/>
    <xf numFmtId="0" fontId="46" fillId="3" borderId="0" xfId="0" applyFont="1" applyFill="1" applyAlignment="1">
      <alignment horizontal="right"/>
    </xf>
    <xf numFmtId="0" fontId="46" fillId="3" borderId="0" xfId="0" applyFont="1" applyFill="1" applyAlignment="1">
      <alignment horizontal="center"/>
    </xf>
    <xf numFmtId="0" fontId="47" fillId="3" borderId="0" xfId="0" applyFont="1" applyFill="1" applyAlignment="1">
      <alignment horizontal="right"/>
    </xf>
    <xf numFmtId="2" fontId="46" fillId="3" borderId="0" xfId="0" applyNumberFormat="1" applyFont="1" applyFill="1" applyAlignment="1">
      <alignment horizontal="center"/>
    </xf>
    <xf numFmtId="1" fontId="46" fillId="3" borderId="0" xfId="0" applyNumberFormat="1" applyFont="1" applyFill="1" applyAlignment="1">
      <alignment horizontal="center"/>
    </xf>
    <xf numFmtId="10" fontId="46" fillId="3" borderId="0" xfId="36" applyNumberFormat="1" applyFont="1" applyFill="1" applyBorder="1" applyAlignment="1" applyProtection="1">
      <alignment horizontal="center"/>
    </xf>
    <xf numFmtId="168" fontId="46" fillId="3" borderId="0" xfId="1" applyNumberFormat="1" applyFont="1" applyFill="1" applyBorder="1" applyAlignment="1" applyProtection="1">
      <alignment horizontal="center"/>
    </xf>
    <xf numFmtId="9" fontId="46" fillId="3" borderId="0" xfId="36" applyFont="1" applyFill="1" applyBorder="1" applyAlignment="1" applyProtection="1">
      <alignment horizontal="center"/>
    </xf>
    <xf numFmtId="164" fontId="16" fillId="3" borderId="0" xfId="1" applyNumberFormat="1" applyFont="1" applyFill="1" applyProtection="1">
      <protection hidden="1"/>
    </xf>
    <xf numFmtId="167" fontId="16" fillId="9" borderId="29" xfId="1" applyNumberFormat="1" applyFont="1" applyFill="1" applyBorder="1" applyProtection="1">
      <protection locked="0" hidden="1"/>
    </xf>
    <xf numFmtId="167" fontId="16" fillId="3" borderId="0" xfId="1" applyNumberFormat="1" applyFont="1" applyFill="1" applyBorder="1" applyProtection="1">
      <protection hidden="1"/>
    </xf>
    <xf numFmtId="0" fontId="16" fillId="3" borderId="0" xfId="0" applyFont="1" applyFill="1" applyProtection="1">
      <protection hidden="1"/>
    </xf>
    <xf numFmtId="167" fontId="16" fillId="9" borderId="28" xfId="1" applyNumberFormat="1" applyFont="1" applyFill="1" applyBorder="1" applyProtection="1">
      <protection locked="0" hidden="1"/>
    </xf>
    <xf numFmtId="167" fontId="16" fillId="8" borderId="9" xfId="0" applyNumberFormat="1" applyFont="1" applyFill="1" applyBorder="1" applyProtection="1">
      <protection hidden="1"/>
    </xf>
    <xf numFmtId="167" fontId="16" fillId="3" borderId="0" xfId="0" applyNumberFormat="1" applyFont="1" applyFill="1" applyProtection="1">
      <protection hidden="1"/>
    </xf>
    <xf numFmtId="0" fontId="46" fillId="16" borderId="0" xfId="0" applyFont="1" applyFill="1" applyProtection="1">
      <protection hidden="1"/>
    </xf>
    <xf numFmtId="0" fontId="47" fillId="16" borderId="0" xfId="0" applyFont="1" applyFill="1" applyAlignment="1" applyProtection="1">
      <alignment vertical="center" wrapText="1"/>
      <protection hidden="1"/>
    </xf>
    <xf numFmtId="167" fontId="46" fillId="16" borderId="0" xfId="0" applyNumberFormat="1" applyFont="1" applyFill="1" applyProtection="1">
      <protection hidden="1"/>
    </xf>
    <xf numFmtId="0" fontId="47" fillId="16" borderId="0" xfId="0" applyFont="1" applyFill="1" applyAlignment="1" applyProtection="1">
      <alignment horizontal="center" vertical="center"/>
      <protection hidden="1"/>
    </xf>
    <xf numFmtId="2" fontId="46" fillId="16" borderId="0" xfId="0" applyNumberFormat="1" applyFont="1" applyFill="1" applyAlignment="1" applyProtection="1">
      <alignment horizontal="center" vertical="center"/>
      <protection hidden="1"/>
    </xf>
    <xf numFmtId="0" fontId="47" fillId="16" borderId="0" xfId="0" applyFont="1" applyFill="1" applyAlignment="1" applyProtection="1">
      <alignment horizontal="center" wrapText="1"/>
      <protection hidden="1"/>
    </xf>
    <xf numFmtId="4" fontId="46" fillId="16" borderId="0" xfId="0" applyNumberFormat="1" applyFont="1" applyFill="1" applyAlignment="1" applyProtection="1">
      <alignment horizontal="center" vertical="center" wrapText="1"/>
      <protection hidden="1"/>
    </xf>
    <xf numFmtId="0" fontId="47" fillId="16" borderId="0" xfId="0" applyFont="1" applyFill="1" applyAlignment="1" applyProtection="1">
      <alignment horizontal="center"/>
      <protection hidden="1"/>
    </xf>
    <xf numFmtId="4" fontId="46" fillId="16" borderId="0" xfId="0" applyNumberFormat="1" applyFont="1" applyFill="1" applyAlignment="1" applyProtection="1">
      <alignment horizontal="center" vertical="center"/>
      <protection hidden="1"/>
    </xf>
    <xf numFmtId="0" fontId="46" fillId="16" borderId="0" xfId="0" applyFont="1" applyFill="1" applyAlignment="1" applyProtection="1">
      <alignment horizontal="center" wrapText="1"/>
      <protection hidden="1"/>
    </xf>
    <xf numFmtId="0" fontId="17" fillId="3" borderId="0" xfId="0" applyFont="1" applyFill="1" applyAlignment="1" applyProtection="1">
      <alignment vertical="top" wrapText="1"/>
      <protection hidden="1"/>
    </xf>
    <xf numFmtId="0" fontId="17" fillId="3" borderId="0" xfId="0" applyFont="1" applyFill="1" applyAlignment="1" applyProtection="1">
      <alignment vertical="center" wrapText="1"/>
      <protection hidden="1"/>
    </xf>
    <xf numFmtId="0" fontId="46" fillId="16" borderId="0" xfId="0" applyFont="1" applyFill="1" applyAlignment="1" applyProtection="1">
      <alignment horizontal="center" vertical="center" wrapText="1"/>
      <protection hidden="1"/>
    </xf>
    <xf numFmtId="0" fontId="16" fillId="13" borderId="9" xfId="0" applyFont="1" applyFill="1" applyBorder="1" applyAlignment="1" applyProtection="1">
      <alignment horizontal="center" wrapText="1"/>
      <protection hidden="1"/>
    </xf>
    <xf numFmtId="167" fontId="16" fillId="13" borderId="9" xfId="0" applyNumberFormat="1" applyFont="1" applyFill="1" applyBorder="1" applyProtection="1">
      <protection hidden="1"/>
    </xf>
    <xf numFmtId="167" fontId="16" fillId="13" borderId="9" xfId="1" applyNumberFormat="1" applyFont="1" applyFill="1" applyBorder="1" applyAlignment="1" applyProtection="1">
      <alignment horizontal="center" vertical="center"/>
      <protection hidden="1"/>
    </xf>
    <xf numFmtId="4" fontId="16" fillId="13" borderId="9" xfId="0" applyNumberFormat="1" applyFont="1" applyFill="1" applyBorder="1" applyAlignment="1" applyProtection="1">
      <alignment horizontal="center" vertical="center" wrapText="1"/>
      <protection hidden="1"/>
    </xf>
    <xf numFmtId="4" fontId="16" fillId="13" borderId="3" xfId="0" applyNumberFormat="1" applyFont="1" applyFill="1" applyBorder="1" applyAlignment="1" applyProtection="1">
      <alignment horizontal="center" vertical="center"/>
      <protection hidden="1"/>
    </xf>
    <xf numFmtId="0" fontId="16" fillId="13" borderId="9" xfId="0" applyFont="1" applyFill="1" applyBorder="1" applyAlignment="1" applyProtection="1">
      <alignment horizontal="center" vertical="center" wrapText="1"/>
      <protection hidden="1"/>
    </xf>
    <xf numFmtId="15" fontId="45" fillId="0" borderId="12" xfId="47" applyNumberFormat="1" applyFont="1" applyBorder="1" applyAlignment="1">
      <alignment horizontal="justify" vertical="top" wrapText="1"/>
    </xf>
    <xf numFmtId="15" fontId="45" fillId="0" borderId="2" xfId="47" applyNumberFormat="1" applyFont="1" applyBorder="1" applyAlignment="1">
      <alignment horizontal="justify" vertical="top"/>
    </xf>
    <xf numFmtId="15" fontId="45" fillId="0" borderId="13" xfId="47" applyNumberFormat="1" applyFont="1" applyBorder="1" applyAlignment="1">
      <alignment horizontal="justify" vertical="top"/>
    </xf>
    <xf numFmtId="14" fontId="0" fillId="0" borderId="16" xfId="0" applyNumberFormat="1" applyBorder="1" applyAlignment="1">
      <alignment horizontal="center" vertical="center"/>
    </xf>
    <xf numFmtId="14" fontId="0" fillId="0" borderId="18" xfId="0" applyNumberFormat="1" applyBorder="1" applyAlignment="1">
      <alignment horizontal="center" vertical="center"/>
    </xf>
    <xf numFmtId="14" fontId="0" fillId="0" borderId="20" xfId="0" applyNumberFormat="1" applyBorder="1" applyAlignment="1">
      <alignment horizontal="center" vertical="center"/>
    </xf>
    <xf numFmtId="2" fontId="0" fillId="0" borderId="17" xfId="0" applyNumberFormat="1" applyBorder="1" applyAlignment="1">
      <alignment horizontal="center" vertical="center"/>
    </xf>
    <xf numFmtId="2" fontId="0" fillId="0" borderId="19" xfId="0" applyNumberFormat="1" applyBorder="1" applyAlignment="1">
      <alignment horizontal="center" vertical="center"/>
    </xf>
    <xf numFmtId="2" fontId="0" fillId="0" borderId="21" xfId="0" applyNumberFormat="1" applyBorder="1" applyAlignment="1">
      <alignment horizontal="center" vertical="center"/>
    </xf>
    <xf numFmtId="0" fontId="24" fillId="3" borderId="0" xfId="0" applyFont="1" applyFill="1" applyAlignment="1">
      <alignment horizontal="left" wrapText="1"/>
    </xf>
    <xf numFmtId="4" fontId="12" fillId="15" borderId="32" xfId="0" applyNumberFormat="1" applyFont="1" applyFill="1" applyBorder="1" applyAlignment="1" applyProtection="1">
      <alignment horizontal="center"/>
      <protection locked="0"/>
    </xf>
    <xf numFmtId="4" fontId="12" fillId="15" borderId="43" xfId="0" applyNumberFormat="1" applyFont="1" applyFill="1" applyBorder="1" applyAlignment="1" applyProtection="1">
      <alignment horizontal="center"/>
      <protection locked="0"/>
    </xf>
    <xf numFmtId="4" fontId="12" fillId="15" borderId="32" xfId="0" applyNumberFormat="1" applyFont="1" applyFill="1" applyBorder="1" applyAlignment="1" applyProtection="1">
      <alignment horizontal="center" wrapText="1"/>
      <protection locked="0"/>
    </xf>
    <xf numFmtId="4" fontId="12" fillId="15" borderId="43" xfId="0" applyNumberFormat="1" applyFont="1" applyFill="1" applyBorder="1" applyAlignment="1" applyProtection="1">
      <alignment horizontal="center" wrapText="1"/>
      <protection locked="0"/>
    </xf>
    <xf numFmtId="4" fontId="12" fillId="15" borderId="0" xfId="0" applyNumberFormat="1" applyFont="1" applyFill="1" applyAlignment="1" applyProtection="1">
      <alignment horizontal="center" wrapText="1"/>
      <protection locked="0"/>
    </xf>
    <xf numFmtId="4" fontId="12" fillId="15" borderId="41" xfId="0" applyNumberFormat="1" applyFont="1" applyFill="1" applyBorder="1" applyAlignment="1" applyProtection="1">
      <alignment horizontal="center" wrapText="1"/>
      <protection locked="0"/>
    </xf>
    <xf numFmtId="4" fontId="15" fillId="15" borderId="0" xfId="0" applyNumberFormat="1" applyFont="1" applyFill="1" applyAlignment="1" applyProtection="1">
      <alignment horizontal="center"/>
      <protection locked="0"/>
    </xf>
    <xf numFmtId="4" fontId="15" fillId="15" borderId="0" xfId="0" applyNumberFormat="1" applyFont="1" applyFill="1" applyAlignment="1" applyProtection="1">
      <alignment horizontal="center" wrapText="1"/>
      <protection locked="0"/>
    </xf>
    <xf numFmtId="4" fontId="15" fillId="15" borderId="41" xfId="0" applyNumberFormat="1" applyFont="1" applyFill="1" applyBorder="1" applyAlignment="1" applyProtection="1">
      <alignment horizontal="center" wrapText="1"/>
      <protection locked="0"/>
    </xf>
    <xf numFmtId="0" fontId="12" fillId="8" borderId="0" xfId="0" applyFont="1" applyFill="1" applyAlignment="1">
      <alignment horizontal="center" wrapText="1"/>
    </xf>
    <xf numFmtId="0" fontId="12" fillId="8" borderId="41" xfId="0" applyFont="1" applyFill="1" applyBorder="1" applyAlignment="1">
      <alignment horizontal="center" wrapText="1"/>
    </xf>
    <xf numFmtId="9" fontId="12" fillId="8" borderId="0" xfId="0" applyNumberFormat="1" applyFont="1" applyFill="1" applyAlignment="1">
      <alignment horizontal="center" wrapText="1"/>
    </xf>
    <xf numFmtId="9" fontId="12" fillId="8" borderId="41" xfId="0" applyNumberFormat="1" applyFont="1" applyFill="1" applyBorder="1" applyAlignment="1">
      <alignment horizontal="center" wrapText="1"/>
    </xf>
    <xf numFmtId="4" fontId="24" fillId="0" borderId="0" xfId="0" applyNumberFormat="1" applyFont="1" applyAlignment="1">
      <alignment horizontal="left"/>
    </xf>
    <xf numFmtId="4" fontId="12" fillId="15" borderId="35" xfId="0" applyNumberFormat="1" applyFont="1" applyFill="1" applyBorder="1" applyAlignment="1" applyProtection="1">
      <alignment horizontal="left"/>
      <protection locked="0"/>
    </xf>
    <xf numFmtId="4" fontId="12" fillId="15" borderId="0" xfId="0" applyNumberFormat="1" applyFont="1" applyFill="1" applyAlignment="1" applyProtection="1">
      <alignment horizontal="left"/>
      <protection locked="0"/>
    </xf>
    <xf numFmtId="2" fontId="12" fillId="15" borderId="0" xfId="0" applyNumberFormat="1" applyFont="1" applyFill="1" applyAlignment="1" applyProtection="1">
      <alignment horizontal="center"/>
      <protection locked="0"/>
    </xf>
    <xf numFmtId="7" fontId="24" fillId="3" borderId="0" xfId="45" applyNumberFormat="1" applyFont="1" applyFill="1" applyProtection="1"/>
    <xf numFmtId="7" fontId="24" fillId="3" borderId="0" xfId="0" applyNumberFormat="1" applyFont="1" applyFill="1"/>
    <xf numFmtId="0" fontId="15" fillId="3" borderId="33" xfId="0" applyFont="1" applyFill="1" applyBorder="1" applyAlignment="1">
      <alignment horizontal="left" vertical="center" textRotation="90" wrapText="1"/>
    </xf>
    <xf numFmtId="0" fontId="12" fillId="3" borderId="0" xfId="0" applyFont="1" applyFill="1" applyAlignment="1">
      <alignment horizontal="left" vertical="center" textRotation="90" wrapText="1"/>
    </xf>
    <xf numFmtId="4" fontId="12" fillId="15" borderId="0" xfId="0" applyNumberFormat="1" applyFont="1" applyFill="1" applyAlignment="1" applyProtection="1">
      <alignment horizontal="left" wrapText="1"/>
      <protection locked="0"/>
    </xf>
    <xf numFmtId="4" fontId="12" fillId="15" borderId="0" xfId="0" applyNumberFormat="1" applyFont="1" applyFill="1" applyAlignment="1" applyProtection="1">
      <alignment horizontal="right"/>
      <protection locked="0"/>
    </xf>
    <xf numFmtId="4" fontId="12" fillId="15" borderId="0" xfId="0" applyNumberFormat="1" applyFont="1" applyFill="1" applyProtection="1">
      <protection locked="0"/>
    </xf>
    <xf numFmtId="0" fontId="15" fillId="3" borderId="0" xfId="0" applyFont="1" applyFill="1" applyAlignment="1">
      <alignment horizontal="left" vertical="center" textRotation="90" wrapText="1"/>
    </xf>
    <xf numFmtId="0" fontId="25" fillId="3" borderId="35" xfId="0" applyFont="1" applyFill="1" applyBorder="1" applyAlignment="1">
      <alignment horizontal="center" vertical="center"/>
    </xf>
    <xf numFmtId="0" fontId="25" fillId="3" borderId="0" xfId="0" applyFont="1" applyFill="1" applyAlignment="1">
      <alignment horizontal="center" vertical="center"/>
    </xf>
    <xf numFmtId="0" fontId="25" fillId="3" borderId="32" xfId="0" applyFont="1" applyFill="1" applyBorder="1" applyAlignment="1">
      <alignment horizontal="center" vertical="center"/>
    </xf>
    <xf numFmtId="0" fontId="15" fillId="3" borderId="0" xfId="0" applyFont="1" applyFill="1" applyAlignment="1">
      <alignment horizontal="right"/>
    </xf>
    <xf numFmtId="0" fontId="12" fillId="14" borderId="37" xfId="0" applyFont="1" applyFill="1" applyBorder="1" applyAlignment="1" applyProtection="1">
      <alignment horizontal="left"/>
      <protection locked="0"/>
    </xf>
    <xf numFmtId="0" fontId="12" fillId="14" borderId="34" xfId="0" applyFont="1" applyFill="1" applyBorder="1" applyAlignment="1" applyProtection="1">
      <alignment horizontal="left"/>
      <protection locked="0"/>
    </xf>
    <xf numFmtId="0" fontId="12" fillId="14" borderId="38" xfId="0" applyFont="1" applyFill="1" applyBorder="1" applyAlignment="1" applyProtection="1">
      <alignment horizontal="left"/>
      <protection locked="0"/>
    </xf>
    <xf numFmtId="4" fontId="0" fillId="15" borderId="33" xfId="0" applyNumberFormat="1" applyFill="1" applyBorder="1" applyAlignment="1" applyProtection="1">
      <alignment horizontal="left" wrapText="1"/>
      <protection locked="0"/>
    </xf>
    <xf numFmtId="4" fontId="0" fillId="15" borderId="42" xfId="0" applyNumberFormat="1" applyFill="1" applyBorder="1" applyAlignment="1" applyProtection="1">
      <alignment horizontal="left" wrapText="1"/>
      <protection locked="0"/>
    </xf>
    <xf numFmtId="4" fontId="0" fillId="15" borderId="0" xfId="0" applyNumberFormat="1" applyFill="1" applyAlignment="1" applyProtection="1">
      <alignment horizontal="left" wrapText="1"/>
      <protection locked="0"/>
    </xf>
    <xf numFmtId="0" fontId="0" fillId="15" borderId="33" xfId="0" applyFill="1" applyBorder="1" applyProtection="1">
      <protection locked="0"/>
    </xf>
    <xf numFmtId="0" fontId="12" fillId="15" borderId="33" xfId="0" applyFont="1" applyFill="1" applyBorder="1" applyProtection="1">
      <protection locked="0"/>
    </xf>
    <xf numFmtId="0" fontId="0" fillId="19" borderId="0" xfId="0" applyFill="1" applyProtection="1">
      <protection locked="0"/>
    </xf>
    <xf numFmtId="0" fontId="12" fillId="19" borderId="0" xfId="0" applyFont="1" applyFill="1" applyProtection="1">
      <protection locked="0"/>
    </xf>
    <xf numFmtId="0" fontId="12" fillId="19" borderId="41" xfId="0" applyFont="1" applyFill="1" applyBorder="1" applyProtection="1">
      <protection locked="0"/>
    </xf>
    <xf numFmtId="4" fontId="12" fillId="8" borderId="40" xfId="0" applyNumberFormat="1" applyFont="1" applyFill="1" applyBorder="1" applyAlignment="1">
      <alignment horizontal="left" wrapText="1"/>
    </xf>
    <xf numFmtId="0" fontId="0" fillId="15" borderId="0" xfId="0" applyFill="1" applyAlignment="1" applyProtection="1">
      <alignment horizontal="center"/>
      <protection locked="0"/>
    </xf>
    <xf numFmtId="0" fontId="12" fillId="15" borderId="32" xfId="0" applyFont="1" applyFill="1" applyBorder="1" applyAlignment="1" applyProtection="1">
      <alignment horizontal="center"/>
      <protection locked="0"/>
    </xf>
    <xf numFmtId="14" fontId="12" fillId="15" borderId="37" xfId="0" applyNumberFormat="1" applyFont="1" applyFill="1" applyBorder="1" applyAlignment="1" applyProtection="1">
      <alignment horizontal="center"/>
      <protection locked="0"/>
    </xf>
    <xf numFmtId="14" fontId="12" fillId="15" borderId="34" xfId="0" applyNumberFormat="1" applyFont="1" applyFill="1" applyBorder="1" applyAlignment="1" applyProtection="1">
      <alignment horizontal="center"/>
      <protection locked="0"/>
    </xf>
    <xf numFmtId="14" fontId="12" fillId="15" borderId="38" xfId="0" applyNumberFormat="1" applyFont="1" applyFill="1" applyBorder="1" applyAlignment="1" applyProtection="1">
      <alignment horizontal="center"/>
      <protection locked="0"/>
    </xf>
    <xf numFmtId="0" fontId="0" fillId="15" borderId="0" xfId="0" applyFill="1" applyAlignment="1" applyProtection="1">
      <alignment wrapText="1"/>
      <protection locked="0"/>
    </xf>
    <xf numFmtId="0" fontId="12" fillId="15" borderId="0" xfId="0" applyFont="1" applyFill="1" applyAlignment="1" applyProtection="1">
      <alignment wrapText="1"/>
      <protection locked="0"/>
    </xf>
    <xf numFmtId="0" fontId="12" fillId="15" borderId="33" xfId="0" applyFont="1" applyFill="1" applyBorder="1" applyAlignment="1" applyProtection="1">
      <alignment horizontal="center"/>
      <protection locked="0"/>
    </xf>
    <xf numFmtId="0" fontId="0" fillId="15" borderId="33" xfId="0" applyFill="1" applyBorder="1" applyAlignment="1" applyProtection="1">
      <alignment horizontal="center" vertical="top" wrapText="1"/>
      <protection locked="0"/>
    </xf>
    <xf numFmtId="0" fontId="0" fillId="15" borderId="42" xfId="0" applyFill="1" applyBorder="1" applyAlignment="1" applyProtection="1">
      <alignment horizontal="center" vertical="top" wrapText="1"/>
      <protection locked="0"/>
    </xf>
    <xf numFmtId="0" fontId="0" fillId="15" borderId="0" xfId="0" applyFill="1" applyAlignment="1" applyProtection="1">
      <alignment horizontal="center" vertical="top" wrapText="1"/>
      <protection locked="0"/>
    </xf>
    <xf numFmtId="0" fontId="0" fillId="15" borderId="41" xfId="0" applyFill="1" applyBorder="1" applyAlignment="1" applyProtection="1">
      <alignment horizontal="center" vertical="top" wrapText="1"/>
      <protection locked="0"/>
    </xf>
    <xf numFmtId="0" fontId="0" fillId="15" borderId="32" xfId="0" applyFill="1" applyBorder="1" applyAlignment="1" applyProtection="1">
      <alignment horizontal="center" vertical="top" wrapText="1"/>
      <protection locked="0"/>
    </xf>
    <xf numFmtId="0" fontId="0" fillId="15" borderId="43" xfId="0" applyFill="1" applyBorder="1" applyAlignment="1" applyProtection="1">
      <alignment horizontal="center" vertical="top" wrapText="1"/>
      <protection locked="0"/>
    </xf>
    <xf numFmtId="0" fontId="15" fillId="3" borderId="33" xfId="0" applyFont="1" applyFill="1" applyBorder="1" applyAlignment="1">
      <alignment horizontal="left" vertical="center" textRotation="90"/>
    </xf>
    <xf numFmtId="0" fontId="15" fillId="3" borderId="0" xfId="0" applyFont="1" applyFill="1" applyAlignment="1">
      <alignment horizontal="left" vertical="center" textRotation="90"/>
    </xf>
    <xf numFmtId="0" fontId="12" fillId="3" borderId="0" xfId="0" applyFont="1" applyFill="1" applyAlignment="1">
      <alignment horizontal="left" vertical="center" textRotation="90"/>
    </xf>
    <xf numFmtId="0" fontId="12" fillId="3" borderId="32" xfId="0" applyFont="1" applyFill="1" applyBorder="1" applyAlignment="1">
      <alignment horizontal="left" vertical="center"/>
    </xf>
    <xf numFmtId="0" fontId="28" fillId="15" borderId="0" xfId="0" applyFont="1" applyFill="1" applyAlignment="1" applyProtection="1">
      <alignment horizontal="left"/>
      <protection locked="0"/>
    </xf>
    <xf numFmtId="0" fontId="0" fillId="15" borderId="0" xfId="0" applyFill="1" applyProtection="1">
      <protection locked="0"/>
    </xf>
    <xf numFmtId="0" fontId="12" fillId="15" borderId="0" xfId="0" applyFont="1" applyFill="1" applyAlignment="1" applyProtection="1">
      <alignment horizontal="left"/>
      <protection locked="0"/>
    </xf>
    <xf numFmtId="0" fontId="28" fillId="15" borderId="0" xfId="0" applyFont="1" applyFill="1" applyAlignment="1" applyProtection="1">
      <alignment horizontal="left" wrapText="1"/>
      <protection locked="0"/>
    </xf>
    <xf numFmtId="0" fontId="15" fillId="3" borderId="32" xfId="0" applyFont="1" applyFill="1" applyBorder="1" applyAlignment="1">
      <alignment horizontal="left" vertical="center" textRotation="90"/>
    </xf>
    <xf numFmtId="0" fontId="12" fillId="15" borderId="0" xfId="0" applyFont="1" applyFill="1" applyProtection="1">
      <protection locked="0"/>
    </xf>
    <xf numFmtId="0" fontId="12" fillId="15" borderId="41" xfId="0" applyFont="1" applyFill="1" applyBorder="1" applyProtection="1">
      <protection locked="0"/>
    </xf>
    <xf numFmtId="0" fontId="0" fillId="15" borderId="0" xfId="0" applyFill="1" applyAlignment="1" applyProtection="1">
      <alignment horizontal="center" wrapText="1"/>
      <protection locked="0"/>
    </xf>
    <xf numFmtId="0" fontId="0" fillId="15" borderId="41" xfId="0" applyFill="1" applyBorder="1" applyAlignment="1" applyProtection="1">
      <alignment horizontal="center" wrapText="1"/>
      <protection locked="0"/>
    </xf>
    <xf numFmtId="4" fontId="12" fillId="8" borderId="0" xfId="0" applyNumberFormat="1" applyFont="1" applyFill="1" applyAlignment="1">
      <alignment horizontal="left" wrapText="1"/>
    </xf>
    <xf numFmtId="0" fontId="15" fillId="3" borderId="34" xfId="0" applyFont="1" applyFill="1" applyBorder="1" applyAlignment="1">
      <alignment horizontal="center" vertical="center"/>
    </xf>
    <xf numFmtId="0" fontId="0" fillId="15" borderId="33" xfId="0" applyFill="1" applyBorder="1" applyAlignment="1" applyProtection="1">
      <alignment horizontal="center" wrapText="1"/>
      <protection locked="0"/>
    </xf>
    <xf numFmtId="0" fontId="15" fillId="3" borderId="33" xfId="0" applyFont="1" applyFill="1" applyBorder="1" applyAlignment="1">
      <alignment horizontal="center" vertical="center"/>
    </xf>
    <xf numFmtId="0" fontId="0" fillId="15" borderId="42" xfId="0" applyFill="1" applyBorder="1" applyAlignment="1" applyProtection="1">
      <alignment horizontal="center" wrapText="1"/>
      <protection locked="0"/>
    </xf>
    <xf numFmtId="4" fontId="0" fillId="15" borderId="0" xfId="0" applyNumberFormat="1" applyFill="1" applyAlignment="1" applyProtection="1">
      <alignment horizontal="center" vertical="top" wrapText="1"/>
      <protection locked="0"/>
    </xf>
    <xf numFmtId="9" fontId="12" fillId="8" borderId="0" xfId="0" applyNumberFormat="1" applyFont="1" applyFill="1" applyAlignment="1">
      <alignment horizontal="center"/>
    </xf>
    <xf numFmtId="0" fontId="0" fillId="15" borderId="33" xfId="0" applyFill="1" applyBorder="1" applyAlignment="1" applyProtection="1">
      <alignment wrapText="1"/>
      <protection locked="0"/>
    </xf>
    <xf numFmtId="0" fontId="0" fillId="15" borderId="33" xfId="0" applyFill="1" applyBorder="1" applyAlignment="1" applyProtection="1">
      <alignment horizontal="left" vertical="top"/>
      <protection locked="0"/>
    </xf>
    <xf numFmtId="0" fontId="12" fillId="15" borderId="33" xfId="0" applyFont="1" applyFill="1" applyBorder="1" applyAlignment="1" applyProtection="1">
      <alignment vertical="top"/>
      <protection locked="0"/>
    </xf>
    <xf numFmtId="0" fontId="12" fillId="15" borderId="42" xfId="0" applyFont="1" applyFill="1" applyBorder="1" applyAlignment="1" applyProtection="1">
      <alignment vertical="top"/>
      <protection locked="0"/>
    </xf>
    <xf numFmtId="0" fontId="12" fillId="15" borderId="0" xfId="0" applyFont="1" applyFill="1" applyAlignment="1" applyProtection="1">
      <alignment vertical="top"/>
      <protection locked="0"/>
    </xf>
    <xf numFmtId="0" fontId="12" fillId="15" borderId="41" xfId="0" applyFont="1" applyFill="1" applyBorder="1" applyAlignment="1" applyProtection="1">
      <alignment vertical="top"/>
      <protection locked="0"/>
    </xf>
    <xf numFmtId="0" fontId="12" fillId="15" borderId="32" xfId="0" applyFont="1" applyFill="1" applyBorder="1" applyAlignment="1" applyProtection="1">
      <alignment vertical="top"/>
      <protection locked="0"/>
    </xf>
    <xf numFmtId="0" fontId="12" fillId="15" borderId="43" xfId="0" applyFont="1" applyFill="1" applyBorder="1" applyAlignment="1" applyProtection="1">
      <alignment vertical="top"/>
      <protection locked="0"/>
    </xf>
    <xf numFmtId="0" fontId="0" fillId="15" borderId="33" xfId="0" applyFill="1" applyBorder="1" applyAlignment="1" applyProtection="1">
      <alignment horizontal="left" vertical="top" wrapText="1"/>
      <protection locked="0"/>
    </xf>
    <xf numFmtId="0" fontId="12" fillId="15" borderId="33" xfId="0" applyFont="1" applyFill="1" applyBorder="1" applyAlignment="1" applyProtection="1">
      <alignment horizontal="left" vertical="top" wrapText="1"/>
      <protection locked="0"/>
    </xf>
    <xf numFmtId="0" fontId="12" fillId="15" borderId="42" xfId="0" applyFont="1" applyFill="1" applyBorder="1" applyAlignment="1" applyProtection="1">
      <alignment horizontal="left" vertical="top" wrapText="1"/>
      <protection locked="0"/>
    </xf>
    <xf numFmtId="0" fontId="12" fillId="15" borderId="0" xfId="0" applyFont="1" applyFill="1" applyAlignment="1" applyProtection="1">
      <alignment horizontal="left" vertical="top" wrapText="1"/>
      <protection locked="0"/>
    </xf>
    <xf numFmtId="0" fontId="12" fillId="15" borderId="41" xfId="0" applyFont="1" applyFill="1" applyBorder="1" applyAlignment="1" applyProtection="1">
      <alignment horizontal="left" vertical="top" wrapText="1"/>
      <protection locked="0"/>
    </xf>
    <xf numFmtId="0" fontId="12" fillId="15" borderId="32" xfId="0" applyFont="1" applyFill="1" applyBorder="1" applyAlignment="1" applyProtection="1">
      <alignment horizontal="left" vertical="top" wrapText="1"/>
      <protection locked="0"/>
    </xf>
    <xf numFmtId="0" fontId="12" fillId="15" borderId="43" xfId="0" applyFont="1" applyFill="1" applyBorder="1" applyAlignment="1" applyProtection="1">
      <alignment horizontal="left" vertical="top" wrapText="1"/>
      <protection locked="0"/>
    </xf>
    <xf numFmtId="14" fontId="12" fillId="15" borderId="34" xfId="0" applyNumberFormat="1" applyFont="1" applyFill="1" applyBorder="1" applyAlignment="1" applyProtection="1">
      <alignment horizontal="right"/>
      <protection locked="0"/>
    </xf>
    <xf numFmtId="0" fontId="12" fillId="15" borderId="34" xfId="0" applyFont="1" applyFill="1" applyBorder="1" applyProtection="1">
      <protection locked="0"/>
    </xf>
    <xf numFmtId="0" fontId="12" fillId="15" borderId="38" xfId="0" applyFont="1" applyFill="1" applyBorder="1" applyProtection="1">
      <protection locked="0"/>
    </xf>
    <xf numFmtId="0" fontId="15" fillId="3" borderId="33" xfId="0" applyFont="1" applyFill="1" applyBorder="1" applyAlignment="1">
      <alignment horizontal="center" vertical="center" wrapText="1"/>
    </xf>
    <xf numFmtId="0" fontId="15" fillId="3" borderId="32" xfId="0" applyFont="1" applyFill="1" applyBorder="1" applyAlignment="1">
      <alignment horizontal="center" vertical="center" wrapText="1"/>
    </xf>
    <xf numFmtId="4" fontId="15" fillId="8" borderId="33" xfId="0" applyNumberFormat="1" applyFont="1" applyFill="1" applyBorder="1" applyAlignment="1">
      <alignment horizontal="center" vertical="center" wrapText="1"/>
    </xf>
    <xf numFmtId="4" fontId="15" fillId="8" borderId="32" xfId="0" applyNumberFormat="1" applyFont="1" applyFill="1" applyBorder="1" applyAlignment="1">
      <alignment horizontal="center" vertical="center" wrapText="1"/>
    </xf>
    <xf numFmtId="4" fontId="0" fillId="15" borderId="32" xfId="0" applyNumberFormat="1" applyFill="1" applyBorder="1" applyAlignment="1" applyProtection="1">
      <alignment horizontal="left" wrapText="1"/>
      <protection locked="0"/>
    </xf>
    <xf numFmtId="4" fontId="12" fillId="15" borderId="41" xfId="0" applyNumberFormat="1" applyFont="1" applyFill="1" applyBorder="1" applyAlignment="1" applyProtection="1">
      <alignment horizontal="left" wrapText="1"/>
      <protection locked="0"/>
    </xf>
    <xf numFmtId="4" fontId="0" fillId="15" borderId="43" xfId="0" applyNumberFormat="1" applyFill="1" applyBorder="1" applyAlignment="1" applyProtection="1">
      <alignment horizontal="left" wrapText="1"/>
      <protection locked="0"/>
    </xf>
    <xf numFmtId="4" fontId="12" fillId="15" borderId="32" xfId="0" applyNumberFormat="1" applyFont="1" applyFill="1" applyBorder="1" applyAlignment="1" applyProtection="1">
      <alignment horizontal="left" wrapText="1"/>
      <protection locked="0"/>
    </xf>
    <xf numFmtId="4" fontId="12" fillId="15" borderId="43" xfId="0" applyNumberFormat="1" applyFont="1" applyFill="1" applyBorder="1" applyAlignment="1" applyProtection="1">
      <alignment horizontal="left" wrapText="1"/>
      <protection locked="0"/>
    </xf>
    <xf numFmtId="4" fontId="12" fillId="15" borderId="0" xfId="0" applyNumberFormat="1" applyFont="1" applyFill="1" applyAlignment="1" applyProtection="1">
      <alignment horizontal="left" vertical="top"/>
      <protection locked="0"/>
    </xf>
    <xf numFmtId="0" fontId="0" fillId="15" borderId="34" xfId="0" applyFill="1" applyBorder="1" applyAlignment="1" applyProtection="1">
      <alignment horizontal="center"/>
      <protection locked="0"/>
    </xf>
    <xf numFmtId="0" fontId="12" fillId="15" borderId="34" xfId="0" applyFont="1" applyFill="1" applyBorder="1" applyAlignment="1" applyProtection="1">
      <alignment horizontal="center"/>
      <protection locked="0"/>
    </xf>
    <xf numFmtId="10" fontId="15" fillId="0" borderId="33" xfId="0" applyNumberFormat="1" applyFont="1" applyBorder="1" applyAlignment="1">
      <alignment horizontal="center" vertical="center" wrapText="1"/>
    </xf>
    <xf numFmtId="10" fontId="15" fillId="0" borderId="32" xfId="0" applyNumberFormat="1" applyFont="1" applyBorder="1" applyAlignment="1">
      <alignment horizontal="center" vertical="center" wrapText="1"/>
    </xf>
    <xf numFmtId="10" fontId="15" fillId="8" borderId="33" xfId="0" applyNumberFormat="1" applyFont="1" applyFill="1" applyBorder="1" applyAlignment="1">
      <alignment horizontal="center" vertical="center"/>
    </xf>
    <xf numFmtId="10" fontId="15" fillId="8" borderId="42" xfId="0" applyNumberFormat="1" applyFont="1" applyFill="1" applyBorder="1" applyAlignment="1">
      <alignment horizontal="center" vertical="center"/>
    </xf>
    <xf numFmtId="10" fontId="15" fillId="8" borderId="32" xfId="0" applyNumberFormat="1" applyFont="1" applyFill="1" applyBorder="1" applyAlignment="1">
      <alignment horizontal="center" vertical="center"/>
    </xf>
    <xf numFmtId="10" fontId="15" fillId="8" borderId="43" xfId="0" applyNumberFormat="1" applyFont="1" applyFill="1" applyBorder="1" applyAlignment="1">
      <alignment horizontal="center" vertical="center"/>
    </xf>
    <xf numFmtId="0" fontId="17" fillId="14" borderId="55" xfId="0" applyFont="1" applyFill="1" applyBorder="1" applyAlignment="1">
      <alignment horizontal="center" vertical="center"/>
    </xf>
    <xf numFmtId="0" fontId="17" fillId="14" borderId="42" xfId="0" applyFont="1" applyFill="1" applyBorder="1" applyAlignment="1">
      <alignment horizontal="center" vertical="center"/>
    </xf>
    <xf numFmtId="0" fontId="12" fillId="3" borderId="32" xfId="0" applyFont="1" applyFill="1" applyBorder="1" applyAlignment="1">
      <alignment horizontal="left" vertical="center" textRotation="90"/>
    </xf>
    <xf numFmtId="0" fontId="12" fillId="15" borderId="42" xfId="0" applyFont="1" applyFill="1" applyBorder="1" applyProtection="1">
      <protection locked="0"/>
    </xf>
    <xf numFmtId="4" fontId="12" fillId="15" borderId="40" xfId="0" applyNumberFormat="1" applyFont="1" applyFill="1" applyBorder="1" applyAlignment="1" applyProtection="1">
      <alignment horizontal="left"/>
      <protection locked="0"/>
    </xf>
    <xf numFmtId="2" fontId="15" fillId="8" borderId="33" xfId="0" applyNumberFormat="1" applyFont="1" applyFill="1" applyBorder="1" applyAlignment="1">
      <alignment horizontal="center" vertical="center" wrapText="1"/>
    </xf>
    <xf numFmtId="2" fontId="15" fillId="8" borderId="32" xfId="0" applyNumberFormat="1" applyFont="1" applyFill="1" applyBorder="1" applyAlignment="1">
      <alignment horizontal="center" vertical="center" wrapText="1"/>
    </xf>
    <xf numFmtId="10" fontId="15" fillId="3" borderId="33" xfId="0" applyNumberFormat="1" applyFont="1" applyFill="1" applyBorder="1" applyAlignment="1">
      <alignment horizontal="center" vertical="center"/>
    </xf>
    <xf numFmtId="10" fontId="15" fillId="3" borderId="32" xfId="0" applyNumberFormat="1" applyFont="1" applyFill="1" applyBorder="1" applyAlignment="1">
      <alignment horizontal="center" vertical="center"/>
    </xf>
    <xf numFmtId="10" fontId="15" fillId="8" borderId="33" xfId="0" applyNumberFormat="1" applyFont="1" applyFill="1" applyBorder="1" applyAlignment="1">
      <alignment horizontal="center" vertical="center" wrapText="1"/>
    </xf>
    <xf numFmtId="10" fontId="15" fillId="8" borderId="32" xfId="0" applyNumberFormat="1" applyFont="1" applyFill="1" applyBorder="1" applyAlignment="1">
      <alignment horizontal="center" vertical="center" wrapText="1"/>
    </xf>
    <xf numFmtId="0" fontId="0" fillId="0" borderId="33" xfId="0" applyBorder="1" applyAlignment="1">
      <alignment wrapText="1"/>
    </xf>
    <xf numFmtId="0" fontId="12" fillId="0" borderId="33" xfId="0" applyFont="1" applyBorder="1"/>
    <xf numFmtId="0" fontId="0" fillId="15" borderId="41" xfId="0" applyFill="1" applyBorder="1" applyAlignment="1" applyProtection="1">
      <alignment horizontal="center"/>
      <protection locked="0"/>
    </xf>
    <xf numFmtId="0" fontId="0" fillId="15" borderId="32" xfId="0" applyFill="1" applyBorder="1" applyAlignment="1" applyProtection="1">
      <alignment horizontal="left" vertical="top"/>
      <protection locked="0"/>
    </xf>
    <xf numFmtId="0" fontId="12" fillId="15" borderId="32" xfId="0" applyFont="1" applyFill="1" applyBorder="1" applyAlignment="1" applyProtection="1">
      <alignment horizontal="left" vertical="top"/>
      <protection locked="0"/>
    </xf>
    <xf numFmtId="0" fontId="12" fillId="15" borderId="43" xfId="0" applyFont="1" applyFill="1" applyBorder="1" applyAlignment="1" applyProtection="1">
      <alignment horizontal="left" vertical="top"/>
      <protection locked="0"/>
    </xf>
    <xf numFmtId="0" fontId="17" fillId="18" borderId="4" xfId="0" applyFont="1" applyFill="1" applyBorder="1" applyAlignment="1">
      <alignment horizontal="center" vertical="center" wrapText="1"/>
    </xf>
    <xf numFmtId="0" fontId="17" fillId="18" borderId="10" xfId="0" applyFont="1" applyFill="1" applyBorder="1" applyAlignment="1">
      <alignment horizontal="center" vertical="center" wrapText="1"/>
    </xf>
    <xf numFmtId="0" fontId="17" fillId="18" borderId="5" xfId="0" applyFont="1" applyFill="1" applyBorder="1" applyAlignment="1">
      <alignment horizontal="center" vertical="center" wrapText="1"/>
    </xf>
    <xf numFmtId="0" fontId="17" fillId="18" borderId="8" xfId="0" applyFont="1" applyFill="1" applyBorder="1" applyAlignment="1">
      <alignment horizontal="center" vertical="center" wrapText="1"/>
    </xf>
    <xf numFmtId="0" fontId="17" fillId="18" borderId="1" xfId="0" applyFont="1" applyFill="1" applyBorder="1" applyAlignment="1">
      <alignment horizontal="center" vertical="center" wrapText="1"/>
    </xf>
    <xf numFmtId="0" fontId="17" fillId="18" borderId="11" xfId="0" applyFont="1" applyFill="1" applyBorder="1" applyAlignment="1">
      <alignment horizontal="center" vertical="center" wrapText="1"/>
    </xf>
    <xf numFmtId="4" fontId="0" fillId="15" borderId="41" xfId="0" applyNumberFormat="1" applyFill="1" applyBorder="1" applyAlignment="1" applyProtection="1">
      <alignment horizontal="left" wrapText="1"/>
      <protection locked="0"/>
    </xf>
    <xf numFmtId="0" fontId="16" fillId="3" borderId="8" xfId="0" applyFont="1" applyFill="1" applyBorder="1" applyAlignment="1">
      <alignment horizontal="center"/>
    </xf>
    <xf numFmtId="0" fontId="16" fillId="3" borderId="1" xfId="0" applyFont="1" applyFill="1" applyBorder="1" applyAlignment="1">
      <alignment horizontal="center"/>
    </xf>
    <xf numFmtId="0" fontId="16" fillId="3" borderId="6" xfId="0" applyFont="1" applyFill="1" applyBorder="1" applyAlignment="1">
      <alignment horizontal="center"/>
    </xf>
    <xf numFmtId="0" fontId="16" fillId="3" borderId="0" xfId="0" applyFont="1" applyFill="1" applyAlignment="1">
      <alignment horizontal="center"/>
    </xf>
    <xf numFmtId="49" fontId="0" fillId="0" borderId="33" xfId="0" applyNumberFormat="1" applyBorder="1"/>
    <xf numFmtId="49" fontId="12" fillId="0" borderId="33" xfId="0" applyNumberFormat="1" applyFont="1" applyBorder="1"/>
    <xf numFmtId="49" fontId="12" fillId="0" borderId="42" xfId="0" applyNumberFormat="1" applyFont="1" applyBorder="1"/>
    <xf numFmtId="2" fontId="12" fillId="15" borderId="41" xfId="0" applyNumberFormat="1" applyFont="1" applyFill="1" applyBorder="1" applyAlignment="1" applyProtection="1">
      <alignment horizontal="center"/>
      <protection locked="0"/>
    </xf>
    <xf numFmtId="0" fontId="28" fillId="15" borderId="0" xfId="0" applyFont="1" applyFill="1" applyProtection="1">
      <protection locked="0"/>
    </xf>
    <xf numFmtId="0" fontId="0" fillId="15" borderId="0" xfId="0" applyFill="1" applyAlignment="1" applyProtection="1">
      <alignment horizontal="left" wrapText="1"/>
      <protection locked="0"/>
    </xf>
    <xf numFmtId="0" fontId="12" fillId="15" borderId="0" xfId="0" applyFont="1" applyFill="1" applyAlignment="1" applyProtection="1">
      <alignment horizontal="left" wrapText="1"/>
      <protection locked="0"/>
    </xf>
    <xf numFmtId="0" fontId="12" fillId="15" borderId="41" xfId="0" applyFont="1" applyFill="1" applyBorder="1" applyAlignment="1" applyProtection="1">
      <alignment horizontal="left" wrapText="1"/>
      <protection locked="0"/>
    </xf>
    <xf numFmtId="0" fontId="15" fillId="3" borderId="33" xfId="0" applyFont="1" applyFill="1" applyBorder="1" applyAlignment="1">
      <alignment horizontal="center" vertical="center" textRotation="90"/>
    </xf>
    <xf numFmtId="0" fontId="15" fillId="3" borderId="0" xfId="0" applyFont="1" applyFill="1" applyAlignment="1">
      <alignment horizontal="center" vertical="center" textRotation="90"/>
    </xf>
    <xf numFmtId="0" fontId="15" fillId="3" borderId="32" xfId="0" applyFont="1" applyFill="1" applyBorder="1" applyAlignment="1">
      <alignment horizontal="center" vertical="center" textRotation="90"/>
    </xf>
    <xf numFmtId="0" fontId="15" fillId="3" borderId="33" xfId="0" applyFont="1" applyFill="1" applyBorder="1" applyAlignment="1">
      <alignment horizontal="center" vertical="top"/>
    </xf>
    <xf numFmtId="1" fontId="15" fillId="0" borderId="33" xfId="0" applyNumberFormat="1" applyFont="1" applyBorder="1" applyAlignment="1">
      <alignment horizontal="center" vertical="top"/>
    </xf>
    <xf numFmtId="1" fontId="15" fillId="0" borderId="42" xfId="0" applyNumberFormat="1" applyFont="1" applyBorder="1" applyAlignment="1">
      <alignment horizontal="center" vertical="top"/>
    </xf>
    <xf numFmtId="0" fontId="12" fillId="15" borderId="0" xfId="0" applyFont="1" applyFill="1" applyAlignment="1" applyProtection="1">
      <alignment horizontal="center"/>
      <protection locked="0"/>
    </xf>
    <xf numFmtId="0" fontId="12" fillId="15" borderId="41" xfId="0" applyFont="1" applyFill="1" applyBorder="1" applyAlignment="1" applyProtection="1">
      <alignment horizontal="center"/>
      <protection locked="0"/>
    </xf>
    <xf numFmtId="0" fontId="15" fillId="3" borderId="0" xfId="0" applyFont="1" applyFill="1" applyAlignment="1">
      <alignment horizontal="center"/>
    </xf>
    <xf numFmtId="0" fontId="42" fillId="3" borderId="40" xfId="0" applyFont="1" applyFill="1" applyBorder="1" applyAlignment="1">
      <alignment horizontal="center"/>
    </xf>
    <xf numFmtId="0" fontId="42" fillId="3" borderId="44" xfId="0" applyFont="1" applyFill="1" applyBorder="1" applyAlignment="1">
      <alignment horizontal="center"/>
    </xf>
    <xf numFmtId="0" fontId="15" fillId="3" borderId="40" xfId="0" applyFont="1" applyFill="1" applyBorder="1" applyAlignment="1">
      <alignment horizontal="center" vertical="center" textRotation="90"/>
    </xf>
    <xf numFmtId="10" fontId="12" fillId="15" borderId="0" xfId="0" applyNumberFormat="1" applyFont="1" applyFill="1" applyProtection="1">
      <protection locked="0"/>
    </xf>
    <xf numFmtId="0" fontId="29" fillId="15" borderId="0" xfId="0" applyFont="1" applyFill="1" applyProtection="1">
      <protection locked="0"/>
    </xf>
    <xf numFmtId="0" fontId="0" fillId="15" borderId="33" xfId="0" applyFill="1" applyBorder="1" applyAlignment="1" applyProtection="1">
      <alignment horizontal="center"/>
      <protection locked="0"/>
    </xf>
    <xf numFmtId="0" fontId="12" fillId="19" borderId="33" xfId="0" applyFont="1" applyFill="1" applyBorder="1" applyAlignment="1" applyProtection="1">
      <alignment horizontal="center"/>
      <protection locked="0"/>
    </xf>
    <xf numFmtId="0" fontId="12" fillId="19" borderId="42" xfId="0" applyFont="1" applyFill="1" applyBorder="1" applyAlignment="1" applyProtection="1">
      <alignment horizontal="center"/>
      <protection locked="0"/>
    </xf>
    <xf numFmtId="0" fontId="18" fillId="3" borderId="0" xfId="0" applyFont="1" applyFill="1" applyAlignment="1">
      <alignment horizontal="center"/>
    </xf>
    <xf numFmtId="0" fontId="46" fillId="16" borderId="0" xfId="0" applyFont="1" applyFill="1" applyAlignment="1" applyProtection="1">
      <alignment horizontal="left" vertical="top"/>
      <protection locked="0"/>
    </xf>
    <xf numFmtId="0" fontId="46" fillId="3" borderId="0" xfId="0" applyFont="1" applyFill="1" applyAlignment="1">
      <alignment horizontal="center" vertical="center" wrapText="1"/>
    </xf>
    <xf numFmtId="0" fontId="47" fillId="16" borderId="0" xfId="0" applyFont="1" applyFill="1" applyAlignment="1" applyProtection="1">
      <alignment horizontal="center"/>
      <protection hidden="1"/>
    </xf>
    <xf numFmtId="0" fontId="47" fillId="16" borderId="0" xfId="0" applyFont="1" applyFill="1" applyAlignment="1" applyProtection="1">
      <alignment horizontal="center" vertical="center"/>
      <protection hidden="1"/>
    </xf>
    <xf numFmtId="0" fontId="47" fillId="3" borderId="0" xfId="0" applyFont="1" applyFill="1" applyAlignment="1">
      <alignment horizontal="center" vertical="center" wrapText="1"/>
    </xf>
    <xf numFmtId="0" fontId="47" fillId="16" borderId="0" xfId="0" applyFont="1" applyFill="1" applyAlignment="1" applyProtection="1">
      <alignment horizontal="center" vertical="center" wrapText="1"/>
      <protection hidden="1"/>
    </xf>
    <xf numFmtId="0" fontId="17" fillId="0" borderId="0" xfId="0" applyFont="1" applyAlignment="1">
      <alignment horizontal="center" vertical="center" wrapText="1"/>
    </xf>
    <xf numFmtId="0" fontId="17" fillId="0" borderId="19" xfId="0" applyFont="1" applyBorder="1" applyAlignment="1">
      <alignment horizontal="center" vertical="center" wrapText="1"/>
    </xf>
    <xf numFmtId="164" fontId="47" fillId="16" borderId="0" xfId="1" applyNumberFormat="1" applyFont="1" applyFill="1" applyBorder="1" applyAlignment="1" applyProtection="1">
      <alignment horizontal="center"/>
    </xf>
    <xf numFmtId="164" fontId="17" fillId="3" borderId="0" xfId="0" applyNumberFormat="1" applyFont="1" applyFill="1" applyAlignment="1">
      <alignment horizontal="center" vertical="center" wrapText="1"/>
    </xf>
    <xf numFmtId="0" fontId="16" fillId="9" borderId="12" xfId="0" applyFont="1" applyFill="1" applyBorder="1" applyAlignment="1" applyProtection="1">
      <alignment horizontal="center" wrapText="1"/>
      <protection locked="0"/>
    </xf>
    <xf numFmtId="0" fontId="16" fillId="9" borderId="2" xfId="0" applyFont="1" applyFill="1" applyBorder="1" applyAlignment="1" applyProtection="1">
      <alignment horizontal="center" wrapText="1"/>
      <protection locked="0"/>
    </xf>
    <xf numFmtId="0" fontId="16" fillId="9" borderId="13" xfId="0" applyFont="1" applyFill="1" applyBorder="1" applyAlignment="1" applyProtection="1">
      <alignment horizontal="center" wrapText="1"/>
      <protection locked="0"/>
    </xf>
    <xf numFmtId="9" fontId="47" fillId="16" borderId="0" xfId="36" applyFont="1" applyFill="1" applyBorder="1" applyAlignment="1" applyProtection="1">
      <alignment horizontal="center" vertical="center" wrapText="1"/>
    </xf>
    <xf numFmtId="0" fontId="48" fillId="16" borderId="0" xfId="0" applyFont="1" applyFill="1" applyAlignment="1">
      <alignment horizontal="center" vertical="center"/>
    </xf>
    <xf numFmtId="0" fontId="16" fillId="12" borderId="12" xfId="0" applyFont="1" applyFill="1" applyBorder="1" applyAlignment="1" applyProtection="1">
      <alignment horizontal="center" wrapText="1"/>
      <protection locked="0"/>
    </xf>
    <xf numFmtId="0" fontId="16" fillId="12" borderId="2" xfId="0" applyFont="1" applyFill="1" applyBorder="1" applyAlignment="1" applyProtection="1">
      <alignment horizontal="center" wrapText="1"/>
      <protection locked="0"/>
    </xf>
    <xf numFmtId="0" fontId="16" fillId="12" borderId="13" xfId="0" applyFont="1" applyFill="1" applyBorder="1" applyAlignment="1" applyProtection="1">
      <alignment horizontal="center" wrapText="1"/>
      <protection locked="0"/>
    </xf>
    <xf numFmtId="0" fontId="47" fillId="16" borderId="0" xfId="0" applyFont="1" applyFill="1" applyAlignment="1">
      <alignment horizontal="center" vertical="center" wrapText="1"/>
    </xf>
    <xf numFmtId="0" fontId="47" fillId="16" borderId="0" xfId="0" applyFont="1" applyFill="1" applyAlignment="1">
      <alignment horizontal="center"/>
    </xf>
    <xf numFmtId="0" fontId="24" fillId="3" borderId="52" xfId="0" applyFont="1" applyFill="1" applyBorder="1" applyAlignment="1">
      <alignment horizontal="center"/>
    </xf>
    <xf numFmtId="0" fontId="24" fillId="3" borderId="53" xfId="0" applyFont="1" applyFill="1" applyBorder="1" applyAlignment="1">
      <alignment horizontal="center"/>
    </xf>
    <xf numFmtId="0" fontId="24" fillId="3" borderId="54" xfId="0" applyFont="1" applyFill="1" applyBorder="1" applyAlignment="1">
      <alignment horizontal="center"/>
    </xf>
    <xf numFmtId="0" fontId="49" fillId="24" borderId="9" xfId="0" applyFont="1" applyFill="1" applyBorder="1" applyAlignment="1">
      <alignment horizontal="center"/>
    </xf>
    <xf numFmtId="0" fontId="49" fillId="24" borderId="9" xfId="0" applyFont="1" applyFill="1" applyBorder="1" applyAlignment="1" applyProtection="1">
      <alignment horizontal="center"/>
      <protection hidden="1"/>
    </xf>
    <xf numFmtId="0" fontId="50" fillId="0" borderId="0" xfId="0" applyFont="1" applyAlignment="1">
      <alignment horizontal="center"/>
    </xf>
    <xf numFmtId="0" fontId="50" fillId="0" borderId="0" xfId="0" applyFont="1" applyAlignment="1" applyProtection="1">
      <alignment horizontal="center"/>
      <protection hidden="1"/>
    </xf>
    <xf numFmtId="0" fontId="51" fillId="0" borderId="9" xfId="0" applyFont="1" applyBorder="1" applyAlignment="1">
      <alignment horizontal="left" vertical="top" wrapText="1"/>
    </xf>
    <xf numFmtId="0" fontId="0" fillId="0" borderId="0" xfId="0" applyAlignment="1">
      <alignment horizontal="center"/>
    </xf>
    <xf numFmtId="0" fontId="23" fillId="3" borderId="0" xfId="0" applyFont="1" applyFill="1" applyAlignment="1">
      <alignment horizontal="center" wrapText="1"/>
    </xf>
    <xf numFmtId="0" fontId="0" fillId="3" borderId="0" xfId="0" applyFill="1" applyAlignment="1">
      <alignment horizontal="center" vertical="center"/>
    </xf>
    <xf numFmtId="0" fontId="40" fillId="3" borderId="10" xfId="0" applyFont="1" applyFill="1" applyBorder="1" applyAlignment="1">
      <alignment horizontal="center"/>
    </xf>
    <xf numFmtId="0" fontId="0" fillId="0" borderId="10" xfId="0" applyBorder="1" applyAlignment="1">
      <alignment horizontal="center"/>
    </xf>
    <xf numFmtId="0" fontId="33" fillId="3" borderId="0" xfId="0" applyFont="1" applyFill="1" applyAlignment="1">
      <alignment horizontal="center" wrapText="1"/>
    </xf>
    <xf numFmtId="0" fontId="33" fillId="0" borderId="0" xfId="0" applyFont="1" applyAlignment="1">
      <alignment horizontal="center" wrapText="1"/>
    </xf>
    <xf numFmtId="0" fontId="33" fillId="0" borderId="0" xfId="0" applyFont="1" applyAlignment="1">
      <alignment wrapText="1"/>
    </xf>
    <xf numFmtId="0" fontId="15" fillId="0" borderId="12" xfId="0" applyFont="1" applyBorder="1" applyAlignment="1">
      <alignment horizontal="center"/>
    </xf>
    <xf numFmtId="0" fontId="15" fillId="0" borderId="2" xfId="0" applyFont="1" applyBorder="1" applyAlignment="1">
      <alignment horizontal="center"/>
    </xf>
    <xf numFmtId="0" fontId="15" fillId="0" borderId="13" xfId="0" applyFont="1" applyBorder="1" applyAlignment="1">
      <alignment horizontal="center"/>
    </xf>
  </cellXfs>
  <cellStyles count="49">
    <cellStyle name="Comma" xfId="1" builtinId="3"/>
    <cellStyle name="Comma 2" xfId="2" xr:uid="{00000000-0005-0000-0000-000001000000}"/>
    <cellStyle name="Comma 2 2" xfId="3" xr:uid="{00000000-0005-0000-0000-000002000000}"/>
    <cellStyle name="Comma 3" xfId="4" xr:uid="{00000000-0005-0000-0000-000003000000}"/>
    <cellStyle name="Comma 3 2" xfId="5" xr:uid="{00000000-0005-0000-0000-000004000000}"/>
    <cellStyle name="Comma 4" xfId="6" xr:uid="{00000000-0005-0000-0000-000005000000}"/>
    <cellStyle name="Comma 4 2" xfId="7" xr:uid="{00000000-0005-0000-0000-000006000000}"/>
    <cellStyle name="Comma 4 2 2" xfId="8" xr:uid="{00000000-0005-0000-0000-000007000000}"/>
    <cellStyle name="Comma 4 3" xfId="9" xr:uid="{00000000-0005-0000-0000-000008000000}"/>
    <cellStyle name="Comma 4 3 2" xfId="10" xr:uid="{00000000-0005-0000-0000-000009000000}"/>
    <cellStyle name="Comma 4 4" xfId="11" xr:uid="{00000000-0005-0000-0000-00000A000000}"/>
    <cellStyle name="Comma 5" xfId="12" xr:uid="{00000000-0005-0000-0000-00000B000000}"/>
    <cellStyle name="Comma 5 2" xfId="13" xr:uid="{00000000-0005-0000-0000-00000C000000}"/>
    <cellStyle name="Comma 6" xfId="14" xr:uid="{00000000-0005-0000-0000-00000D000000}"/>
    <cellStyle name="Comma 6 2" xfId="15" xr:uid="{00000000-0005-0000-0000-00000E000000}"/>
    <cellStyle name="Comma 7" xfId="16" xr:uid="{00000000-0005-0000-0000-00000F000000}"/>
    <cellStyle name="Comma 7 2" xfId="17" xr:uid="{00000000-0005-0000-0000-000010000000}"/>
    <cellStyle name="Comma 8" xfId="18" xr:uid="{00000000-0005-0000-0000-000011000000}"/>
    <cellStyle name="Currency" xfId="45" builtinId="4"/>
    <cellStyle name="Currency 2" xfId="19" xr:uid="{00000000-0005-0000-0000-000012000000}"/>
    <cellStyle name="Currency 2 2" xfId="20" xr:uid="{00000000-0005-0000-0000-000013000000}"/>
    <cellStyle name="Currency 2 2 2" xfId="21" xr:uid="{00000000-0005-0000-0000-000014000000}"/>
    <cellStyle name="Currency 2 3" xfId="22" xr:uid="{00000000-0005-0000-0000-000015000000}"/>
    <cellStyle name="Normal" xfId="0" builtinId="0"/>
    <cellStyle name="Normal 2" xfId="23" xr:uid="{00000000-0005-0000-0000-000017000000}"/>
    <cellStyle name="Normal 2 2" xfId="24" xr:uid="{00000000-0005-0000-0000-000018000000}"/>
    <cellStyle name="Normal 2 2 2" xfId="25" xr:uid="{00000000-0005-0000-0000-000019000000}"/>
    <cellStyle name="Normal 2 2 3" xfId="26" xr:uid="{00000000-0005-0000-0000-00001A000000}"/>
    <cellStyle name="Normal 2 3" xfId="27" xr:uid="{00000000-0005-0000-0000-00001B000000}"/>
    <cellStyle name="Normal 2 4" xfId="28" xr:uid="{00000000-0005-0000-0000-00001C000000}"/>
    <cellStyle name="Normal 2 5" xfId="47" xr:uid="{E566BCF1-E6C7-4DA0-AC01-2D539AD47B87}"/>
    <cellStyle name="Normal 3" xfId="29" xr:uid="{00000000-0005-0000-0000-00001D000000}"/>
    <cellStyle name="Normal 3 2" xfId="30" xr:uid="{00000000-0005-0000-0000-00001E000000}"/>
    <cellStyle name="Normal 4" xfId="31" xr:uid="{00000000-0005-0000-0000-00001F000000}"/>
    <cellStyle name="Normal 4 2" xfId="32" xr:uid="{00000000-0005-0000-0000-000020000000}"/>
    <cellStyle name="Normal 4 3" xfId="33" xr:uid="{00000000-0005-0000-0000-000021000000}"/>
    <cellStyle name="Normal 5" xfId="34" xr:uid="{00000000-0005-0000-0000-000022000000}"/>
    <cellStyle name="Normal 6" xfId="35" xr:uid="{00000000-0005-0000-0000-000023000000}"/>
    <cellStyle name="Normal 7" xfId="46" xr:uid="{5704B056-57FA-45C1-BFE8-116784284E01}"/>
    <cellStyle name="Normal 8" xfId="48" xr:uid="{1FFD7C87-2584-491B-8BCC-028A43BA90E1}"/>
    <cellStyle name="Per cent" xfId="36" builtinId="5"/>
    <cellStyle name="Percent 2" xfId="37" xr:uid="{00000000-0005-0000-0000-000025000000}"/>
    <cellStyle name="Percent 3" xfId="38" xr:uid="{00000000-0005-0000-0000-000026000000}"/>
    <cellStyle name="Percent 4" xfId="39" xr:uid="{00000000-0005-0000-0000-000027000000}"/>
    <cellStyle name="Percent 4 2" xfId="40" xr:uid="{00000000-0005-0000-0000-000028000000}"/>
    <cellStyle name="Percent 4 3" xfId="41" xr:uid="{00000000-0005-0000-0000-000029000000}"/>
    <cellStyle name="Percent 5" xfId="42" xr:uid="{00000000-0005-0000-0000-00002A000000}"/>
    <cellStyle name="Percent 6" xfId="43" xr:uid="{00000000-0005-0000-0000-00002B000000}"/>
    <cellStyle name="Percent 7" xfId="44" xr:uid="{00000000-0005-0000-0000-00002C000000}"/>
  </cellStyles>
  <dxfs count="29">
    <dxf>
      <fill>
        <patternFill patternType="none">
          <bgColor indexed="65"/>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bgColor rgb="FF92D050"/>
        </patternFill>
      </fill>
    </dxf>
    <dxf>
      <fill>
        <patternFill>
          <bgColor theme="5"/>
        </patternFill>
      </fill>
    </dxf>
    <dxf>
      <fill>
        <patternFill>
          <bgColor rgb="FF92D050"/>
        </patternFill>
      </fill>
    </dxf>
    <dxf>
      <fill>
        <patternFill>
          <bgColor theme="5"/>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ill>
        <patternFill>
          <bgColor rgb="FFFF0000"/>
        </patternFill>
      </fill>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ill>
        <patternFill>
          <bgColor rgb="FFFF0000"/>
        </patternFill>
      </fill>
    </dxf>
    <dxf>
      <font>
        <color theme="0"/>
      </font>
      <fill>
        <patternFill>
          <bgColor theme="0"/>
        </patternFill>
      </fill>
      <border>
        <left/>
        <right/>
        <top/>
        <bottom/>
        <vertical/>
        <horizontal/>
      </border>
    </dxf>
    <dxf>
      <fill>
        <patternFill>
          <bgColor rgb="FFFF0000"/>
        </patternFill>
      </fill>
    </dxf>
    <dxf>
      <fill>
        <patternFill>
          <bgColor rgb="FF92D050"/>
        </patternFill>
      </fill>
    </dxf>
    <dxf>
      <font>
        <color theme="0"/>
      </font>
      <fill>
        <patternFill>
          <bgColor theme="0"/>
        </patternFill>
      </fill>
      <border>
        <left/>
        <right/>
        <top/>
        <bottom/>
        <vertical/>
        <horizontal/>
      </border>
    </dxf>
    <dxf>
      <font>
        <color theme="0"/>
      </font>
      <fill>
        <patternFill>
          <bgColor theme="0"/>
        </patternFill>
      </fill>
      <border>
        <left/>
        <right/>
        <top/>
        <bottom/>
      </border>
    </dxf>
    <dxf>
      <fill>
        <patternFill>
          <bgColor rgb="FFFF0000"/>
        </patternFill>
      </fill>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7</xdr:row>
      <xdr:rowOff>0</xdr:rowOff>
    </xdr:from>
    <xdr:to>
      <xdr:col>1</xdr:col>
      <xdr:colOff>0</xdr:colOff>
      <xdr:row>10</xdr:row>
      <xdr:rowOff>19050</xdr:rowOff>
    </xdr:to>
    <xdr:sp macro="" textlink="">
      <xdr:nvSpPr>
        <xdr:cNvPr id="2" name="TextBox 1">
          <a:extLst>
            <a:ext uri="{FF2B5EF4-FFF2-40B4-BE49-F238E27FC236}">
              <a16:creationId xmlns:a16="http://schemas.microsoft.com/office/drawing/2014/main" id="{7C7F3A02-23DB-4041-BA39-3704FAEF93C5}"/>
            </a:ext>
          </a:extLst>
        </xdr:cNvPr>
        <xdr:cNvSpPr txBox="1"/>
      </xdr:nvSpPr>
      <xdr:spPr>
        <a:xfrm>
          <a:off x="0" y="2162175"/>
          <a:ext cx="9458325" cy="590550"/>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lstStyle/>
        <a:p>
          <a:pPr algn="just"/>
          <a:r>
            <a:rPr lang="en-GB" sz="1100" b="0" baseline="0">
              <a:latin typeface="Arial" pitchFamily="34" charset="0"/>
              <a:cs typeface="Arial" pitchFamily="34" charset="0"/>
            </a:rPr>
            <a:t>Link to process notes:</a:t>
          </a:r>
        </a:p>
        <a:p>
          <a:pPr algn="just"/>
          <a:endParaRPr lang="en-GB" sz="1100" b="0" baseline="0">
            <a:latin typeface="Arial" pitchFamily="34" charset="0"/>
            <a:cs typeface="Arial" pitchFamily="34" charset="0"/>
          </a:endParaRPr>
        </a:p>
        <a:p>
          <a:pPr algn="just"/>
          <a:endParaRPr lang="en-GB" sz="1100" b="0" baseline="0">
            <a:latin typeface="Arial" pitchFamily="34" charset="0"/>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25</xdr:col>
      <xdr:colOff>117022</xdr:colOff>
      <xdr:row>0</xdr:row>
      <xdr:rowOff>63956</xdr:rowOff>
    </xdr:from>
    <xdr:ext cx="3322864" cy="57422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5357022" y="63956"/>
          <a:ext cx="3322864" cy="574220"/>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GB" sz="900" b="1">
              <a:solidFill>
                <a:srgbClr val="FF0000"/>
              </a:solidFill>
            </a:rPr>
            <a:t>Help</a:t>
          </a:r>
          <a:r>
            <a:rPr lang="en-GB" sz="900" b="1" baseline="0">
              <a:solidFill>
                <a:srgbClr val="FF0000"/>
              </a:solidFill>
            </a:rPr>
            <a:t> Notes</a:t>
          </a:r>
        </a:p>
        <a:p>
          <a:endParaRPr lang="en-GB" sz="100" baseline="0"/>
        </a:p>
        <a:p>
          <a:r>
            <a:rPr lang="en-GB" sz="900" b="1" baseline="0"/>
            <a:t>Retirement</a:t>
          </a:r>
          <a:r>
            <a:rPr lang="en-GB" sz="900" baseline="0"/>
            <a:t> - include in employed income</a:t>
          </a:r>
        </a:p>
        <a:p>
          <a:endParaRPr lang="en-GB" sz="100" baseline="0"/>
        </a:p>
        <a:p>
          <a:r>
            <a:rPr lang="en-GB" sz="900" b="1" baseline="0"/>
            <a:t>Sole trader - </a:t>
          </a:r>
          <a:r>
            <a:rPr lang="en-GB" sz="900" baseline="0"/>
            <a:t>use salary box in self emp section</a:t>
          </a:r>
        </a:p>
        <a:p>
          <a:endParaRPr lang="en-GB" sz="1050" baseline="0"/>
        </a:p>
        <a:p>
          <a:endParaRPr lang="en-GB" sz="1050" baseline="0"/>
        </a:p>
        <a:p>
          <a:endParaRPr lang="en-GB" sz="1050" baseline="0"/>
        </a:p>
        <a:p>
          <a:endParaRPr lang="en-GB" sz="1050"/>
        </a:p>
      </xdr:txBody>
    </xdr:sp>
    <xdr:clientData/>
  </xdr:oneCellAnchor>
  <mc:AlternateContent xmlns:mc="http://schemas.openxmlformats.org/markup-compatibility/2006">
    <mc:Choice xmlns:a14="http://schemas.microsoft.com/office/drawing/2010/main" Requires="a14">
      <xdr:twoCellAnchor editAs="absolute">
        <xdr:from>
          <xdr:col>19</xdr:col>
          <xdr:colOff>466725</xdr:colOff>
          <xdr:row>0</xdr:row>
          <xdr:rowOff>47625</xdr:rowOff>
        </xdr:from>
        <xdr:to>
          <xdr:col>22</xdr:col>
          <xdr:colOff>219075</xdr:colOff>
          <xdr:row>1</xdr:row>
          <xdr:rowOff>114300</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0300-0000015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400" b="1" i="0" u="none" strike="noStrike" baseline="0">
                  <a:solidFill>
                    <a:srgbClr val="800080"/>
                  </a:solidFill>
                  <a:latin typeface="Calibri"/>
                  <a:ea typeface="Calibri"/>
                  <a:cs typeface="Calibri"/>
                </a:rPr>
                <a:t>Reset</a:t>
              </a:r>
            </a:p>
          </xdr:txBody>
        </xdr:sp>
        <xdr:clientData fPrintsWithSheet="0"/>
      </xdr:twoCellAnchor>
    </mc:Choice>
    <mc:Fallback/>
  </mc:AlternateContent>
  <xdr:twoCellAnchor>
    <xdr:from>
      <xdr:col>25</xdr:col>
      <xdr:colOff>120649</xdr:colOff>
      <xdr:row>4</xdr:row>
      <xdr:rowOff>2118</xdr:rowOff>
    </xdr:from>
    <xdr:to>
      <xdr:col>34</xdr:col>
      <xdr:colOff>371474</xdr:colOff>
      <xdr:row>10</xdr:row>
      <xdr:rowOff>42334</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11254316" y="700618"/>
          <a:ext cx="6188075" cy="1183216"/>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1">
              <a:solidFill>
                <a:sysClr val="windowText" lastClr="000000"/>
              </a:solidFill>
            </a:rPr>
            <a:t>Tailored Approach</a:t>
          </a:r>
        </a:p>
        <a:p>
          <a:pPr algn="l"/>
          <a:endParaRPr lang="en-GB" sz="400" b="1">
            <a:solidFill>
              <a:sysClr val="windowText" lastClr="000000"/>
            </a:solidFill>
          </a:endParaRPr>
        </a:p>
        <a:p>
          <a:pPr marL="171450" indent="-171450" algn="l">
            <a:buFont typeface="Arial" panose="020B0604020202020204" pitchFamily="34" charset="0"/>
            <a:buChar char="•"/>
          </a:pPr>
          <a:r>
            <a:rPr lang="en-GB" sz="1100" b="0">
              <a:solidFill>
                <a:sysClr val="windowText" lastClr="000000"/>
              </a:solidFill>
            </a:rPr>
            <a:t>Guarantor</a:t>
          </a:r>
          <a:r>
            <a:rPr lang="en-GB" sz="1100" b="0" baseline="0">
              <a:solidFill>
                <a:sysClr val="windowText" lastClr="000000"/>
              </a:solidFill>
            </a:rPr>
            <a:t> Mortgages/Joint Borrower Sole Proprietor</a:t>
          </a:r>
        </a:p>
        <a:p>
          <a:pPr marL="171450" indent="-171450" algn="l">
            <a:buFont typeface="Arial" panose="020B0604020202020204" pitchFamily="34" charset="0"/>
            <a:buChar char="•"/>
          </a:pPr>
          <a:r>
            <a:rPr lang="en-GB" sz="1100" b="0" baseline="0">
              <a:solidFill>
                <a:sysClr val="windowText" lastClr="000000"/>
              </a:solidFill>
            </a:rPr>
            <a:t>Potential shorter term lending</a:t>
          </a:r>
        </a:p>
        <a:p>
          <a:pPr marL="171450" indent="-171450" algn="l">
            <a:buFont typeface="Arial" panose="020B0604020202020204" pitchFamily="34" charset="0"/>
            <a:buChar char="•"/>
          </a:pPr>
          <a:r>
            <a:rPr lang="en-GB" sz="1100" b="0" baseline="0">
              <a:solidFill>
                <a:sysClr val="windowText" lastClr="000000"/>
              </a:solidFill>
            </a:rPr>
            <a:t>Second homes/dependent relative mortgages</a:t>
          </a:r>
        </a:p>
        <a:p>
          <a:pPr marL="171450" indent="-171450" algn="l">
            <a:buFont typeface="Arial" panose="020B0604020202020204" pitchFamily="34" charset="0"/>
            <a:buChar char="•"/>
          </a:pPr>
          <a:r>
            <a:rPr lang="en-GB" sz="1100" b="0" baseline="0">
              <a:solidFill>
                <a:sysClr val="windowText" lastClr="000000"/>
              </a:solidFill>
            </a:rPr>
            <a:t>Gifted equity/concessionary purchase with no additional deposit</a:t>
          </a:r>
        </a:p>
        <a:p>
          <a:pPr marL="171450" indent="-171450" algn="l">
            <a:buFont typeface="Arial" panose="020B0604020202020204" pitchFamily="34" charset="0"/>
            <a:buChar char="•"/>
          </a:pPr>
          <a:r>
            <a:rPr lang="en-GB" sz="1100" b="0" baseline="0">
              <a:solidFill>
                <a:sysClr val="windowText" lastClr="000000"/>
              </a:solidFill>
            </a:rPr>
            <a:t>High unsecured debt to income ratio (over 70%, whether nor not it is being repaid)</a:t>
          </a:r>
        </a:p>
        <a:p>
          <a:pPr marL="171450" indent="-171450" algn="l">
            <a:buFont typeface="Arial" panose="020B0604020202020204" pitchFamily="34" charset="0"/>
            <a:buChar char="•"/>
          </a:pPr>
          <a:r>
            <a:rPr lang="en-GB" sz="1100" b="0" baseline="0">
              <a:solidFill>
                <a:sysClr val="windowText" lastClr="000000"/>
              </a:solidFill>
            </a:rPr>
            <a:t>Residential debt consolidation where we are repaying the debts to make it affordable</a:t>
          </a:r>
          <a:endParaRPr lang="en-GB" sz="1100" b="0">
            <a:solidFill>
              <a:sysClr val="windowText" lastClr="000000"/>
            </a:solidFill>
          </a:endParaRPr>
        </a:p>
      </xdr:txBody>
    </xdr:sp>
    <xdr:clientData/>
  </xdr:twoCellAnchor>
  <xdr:twoCellAnchor>
    <xdr:from>
      <xdr:col>25</xdr:col>
      <xdr:colOff>129117</xdr:colOff>
      <xdr:row>10</xdr:row>
      <xdr:rowOff>127000</xdr:rowOff>
    </xdr:from>
    <xdr:to>
      <xdr:col>34</xdr:col>
      <xdr:colOff>389467</xdr:colOff>
      <xdr:row>21</xdr:row>
      <xdr:rowOff>105833</xdr:rowOff>
    </xdr:to>
    <xdr:sp macro="" textlink="">
      <xdr:nvSpPr>
        <xdr:cNvPr id="4" name="Rectangle 3">
          <a:extLst>
            <a:ext uri="{FF2B5EF4-FFF2-40B4-BE49-F238E27FC236}">
              <a16:creationId xmlns:a16="http://schemas.microsoft.com/office/drawing/2014/main" id="{00000000-0008-0000-0100-000004000000}"/>
            </a:ext>
          </a:extLst>
        </xdr:cNvPr>
        <xdr:cNvSpPr/>
      </xdr:nvSpPr>
      <xdr:spPr>
        <a:xfrm>
          <a:off x="11262784" y="1968500"/>
          <a:ext cx="6197600" cy="2222500"/>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1" i="1">
              <a:solidFill>
                <a:sysClr val="windowText" lastClr="000000"/>
              </a:solidFill>
            </a:rPr>
            <a:t>Adverse</a:t>
          </a:r>
          <a:r>
            <a:rPr lang="en-GB" sz="1100" b="1" i="1" baseline="0">
              <a:solidFill>
                <a:sysClr val="windowText" lastClr="000000"/>
              </a:solidFill>
            </a:rPr>
            <a:t> credit policy</a:t>
          </a:r>
        </a:p>
        <a:p>
          <a:pPr algn="l"/>
          <a:endParaRPr lang="en-GB" sz="600" b="1" i="1" baseline="0">
            <a:solidFill>
              <a:sysClr val="windowText" lastClr="000000"/>
            </a:solidFill>
          </a:endParaRPr>
        </a:p>
        <a:p>
          <a:pPr algn="l"/>
          <a:r>
            <a:rPr lang="en-GB" sz="1100" b="0" i="1" baseline="0">
              <a:solidFill>
                <a:sysClr val="windowText" lastClr="000000"/>
              </a:solidFill>
            </a:rPr>
            <a:t>The society does not lend to borrowers who, within the last 2 years, have been in arrears equivalent to 3 or more months' payments on a mortgage or other loan, whether secured or unsecured, have had a CCJ of £500 or more in the last 3 years or have been subject to an IVA, Debt Relief Order Or Bankruptcy in the last 3 years</a:t>
          </a:r>
        </a:p>
        <a:p>
          <a:pPr algn="l"/>
          <a:endParaRPr lang="en-GB" sz="1100" b="0" i="1" baseline="0">
            <a:solidFill>
              <a:sysClr val="windowText" lastClr="000000"/>
            </a:solidFill>
          </a:endParaRPr>
        </a:p>
        <a:p>
          <a:pPr algn="l"/>
          <a:r>
            <a:rPr lang="en-GB" sz="1100" b="0" i="1" baseline="0">
              <a:solidFill>
                <a:sysClr val="windowText" lastClr="000000"/>
              </a:solidFill>
            </a:rPr>
            <a:t>I would not expect that we would contemplate lending where a potential borrower has had a CCJ of £500 or more in the last 5 years or has been subject to an IVA, Debt Relief Order or Bankruptcy in the last 5 years but we might consider cases where within the last 2 years, a potential borrower has been in arrears equivalent to 3 or more months'' payments on a loan (other than a mortgage), whether secured or unsecured. (I would not count an airtime bill as a loan)</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247650</xdr:colOff>
          <xdr:row>0</xdr:row>
          <xdr:rowOff>95250</xdr:rowOff>
        </xdr:from>
        <xdr:to>
          <xdr:col>14</xdr:col>
          <xdr:colOff>1704975</xdr:colOff>
          <xdr:row>1</xdr:row>
          <xdr:rowOff>447675</xdr:rowOff>
        </xdr:to>
        <xdr:sp macro="" textlink="">
          <xdr:nvSpPr>
            <xdr:cNvPr id="12298" name="Button 10" hidden="1">
              <a:extLst>
                <a:ext uri="{63B3BB69-23CF-44E3-9099-C40C66FF867C}">
                  <a14:compatExt spid="_x0000_s12298"/>
                </a:ext>
                <a:ext uri="{FF2B5EF4-FFF2-40B4-BE49-F238E27FC236}">
                  <a16:creationId xmlns:a16="http://schemas.microsoft.com/office/drawing/2014/main" id="{00000000-0008-0000-0400-00000A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ea typeface="Calibri"/>
                  <a:cs typeface="Calibri"/>
                </a:rPr>
                <a:t>RESET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6</xdr:col>
      <xdr:colOff>923925</xdr:colOff>
      <xdr:row>27</xdr:row>
      <xdr:rowOff>0</xdr:rowOff>
    </xdr:from>
    <xdr:to>
      <xdr:col>13</xdr:col>
      <xdr:colOff>533400</xdr:colOff>
      <xdr:row>70</xdr:row>
      <xdr:rowOff>123825</xdr:rowOff>
    </xdr:to>
    <xdr:pic>
      <xdr:nvPicPr>
        <xdr:cNvPr id="3610" name="Picture 3">
          <a:extLst>
            <a:ext uri="{FF2B5EF4-FFF2-40B4-BE49-F238E27FC236}">
              <a16:creationId xmlns:a16="http://schemas.microsoft.com/office/drawing/2014/main" id="{00000000-0008-0000-0700-00001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24425" y="762000"/>
          <a:ext cx="6315075" cy="831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428625</xdr:colOff>
      <xdr:row>0</xdr:row>
      <xdr:rowOff>85725</xdr:rowOff>
    </xdr:from>
    <xdr:to>
      <xdr:col>8</xdr:col>
      <xdr:colOff>285750</xdr:colOff>
      <xdr:row>8</xdr:row>
      <xdr:rowOff>114300</xdr:rowOff>
    </xdr:to>
    <xdr:pic>
      <xdr:nvPicPr>
        <xdr:cNvPr id="3611" name="Picture 4">
          <a:extLst>
            <a:ext uri="{FF2B5EF4-FFF2-40B4-BE49-F238E27FC236}">
              <a16:creationId xmlns:a16="http://schemas.microsoft.com/office/drawing/2014/main" id="{00000000-0008-0000-0700-00001B0E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09925" y="85725"/>
          <a:ext cx="4086225" cy="1552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pan/AppData/Local/Microsoft/Windows/INetCache/Content.Outlook/G5R46XCY/BTL%201.29%25%20Discount%20for%202%20years%20Max%2075%25%20LTV%20Retention%20Dec%202021%20Updated.xlsx" TargetMode="External"/><Relationship Id="rId1" Type="http://schemas.openxmlformats.org/officeDocument/2006/relationships/externalLinkPath" Target="/Users/dpan/AppData/Local/Microsoft/Windows/INetCache/Content.Outlook/G5R46XCY/BTL%201.29%25%20Discount%20for%202%20years%20Max%2075%25%20LTV%20Retention%20Dec%202021%20Updated.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hrbsfs01\home\iali\Desktop\Owner%20Occupier%20V6%20-%2018%2011%202024.xlsm" TargetMode="External"/><Relationship Id="rId1" Type="http://schemas.openxmlformats.org/officeDocument/2006/relationships/externalLinkPath" Target="file:///\\hrbsfs01\home\iali\Desktop\Owner%20Occupier%20V6%20-%2018%2011%2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ssumptions"/>
      <sheetName val="Cashflows"/>
      <sheetName val="Standing Data"/>
      <sheetName val="5 year P&amp;L"/>
      <sheetName val="Summary Details"/>
      <sheetName val="Detailed Description"/>
      <sheetName val="Version Control"/>
      <sheetName val="Other Guidance"/>
    </sheetNames>
    <sheetDataSet>
      <sheetData sheetId="0"/>
      <sheetData sheetId="1"/>
      <sheetData sheetId="2">
        <row r="6">
          <cell r="A6" t="str">
            <v>Variable</v>
          </cell>
        </row>
        <row r="7">
          <cell r="A7" t="str">
            <v>Fixed - Fixed rate savings</v>
          </cell>
        </row>
        <row r="8">
          <cell r="A8" t="str">
            <v>Fixed - External swap</v>
          </cell>
        </row>
        <row r="18">
          <cell r="A18" t="str">
            <v>HRBS pays</v>
          </cell>
        </row>
        <row r="19">
          <cell r="A19" t="str">
            <v>Customer pays</v>
          </cell>
        </row>
        <row r="20">
          <cell r="A20" t="str">
            <v>No MIG</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Enquiry"/>
      <sheetName val="Affordability Calculator"/>
      <sheetName val="Mortgage Repayments (UW)"/>
      <sheetName val="Mortgage Repayments (E)"/>
      <sheetName val="Data"/>
      <sheetName val="Council tax"/>
      <sheetName val="Postcodes"/>
      <sheetName val="E Calc"/>
      <sheetName val="tax calculator"/>
      <sheetName val="Sheet1"/>
      <sheetName val="tax calculator (2)"/>
      <sheetName val="6 Pillars"/>
      <sheetName val="Security"/>
      <sheetName val="Standard of borrower"/>
      <sheetName val="Credit History"/>
      <sheetName val="Property Type"/>
    </sheetNames>
    <sheetDataSet>
      <sheetData sheetId="0" refreshError="1"/>
      <sheetData sheetId="1" refreshError="1"/>
      <sheetData sheetId="2"/>
      <sheetData sheetId="3">
        <row r="5">
          <cell r="M5" t="str">
            <v>capital repayment</v>
          </cell>
        </row>
        <row r="6">
          <cell r="M6" t="str">
            <v>interest only</v>
          </cell>
        </row>
        <row r="7">
          <cell r="M7" t="str">
            <v>Part capital repayment/Part interest only</v>
          </cell>
        </row>
        <row r="10">
          <cell r="M10" t="str">
            <v>Less than 5 years</v>
          </cell>
        </row>
        <row r="11">
          <cell r="M11" t="str">
            <v>5 years</v>
          </cell>
        </row>
        <row r="12">
          <cell r="M12" t="str">
            <v>Lifetime</v>
          </cell>
        </row>
      </sheetData>
      <sheetData sheetId="4">
        <row r="10">
          <cell r="M10" t="str">
            <v>5 year Fixed</v>
          </cell>
        </row>
        <row r="11">
          <cell r="M11" t="str">
            <v>Lifetime Discount/Tracker</v>
          </cell>
        </row>
        <row r="12">
          <cell r="M12" t="str">
            <v>Other (all 2 &amp; 3 year products)</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ebecca Griffin" refreshedDate="42810.47342534722" createdVersion="1" refreshedVersion="4" recordCount="186" upgradeOnRefresh="1" xr:uid="{00000000-000A-0000-FFFF-FFFF00000000}">
  <cacheSource type="worksheet">
    <worksheetSource ref="A2:B188" sheet="Postcodes"/>
  </cacheSource>
  <cacheFields count="2">
    <cacheField name="POSTCODE" numFmtId="0">
      <sharedItems/>
    </cacheField>
    <cacheField name="REGION" numFmtId="0">
      <sharedItems count="12">
        <s v="Scotland"/>
        <s v="South East"/>
        <s v="West Midlands"/>
        <s v="South West"/>
        <s v="North West"/>
        <s v="Yorkshire &amp; the Humber"/>
        <s v="London"/>
        <s v="East"/>
        <s v="Wales"/>
        <s v="East Midlands"/>
        <s v="North East"/>
        <s v="East of England"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86">
  <r>
    <s v="AB"/>
    <x v="0"/>
  </r>
  <r>
    <s v="AL"/>
    <x v="1"/>
  </r>
  <r>
    <s v="B1"/>
    <x v="2"/>
  </r>
  <r>
    <s v="B1"/>
    <x v="2"/>
  </r>
  <r>
    <s v="B2"/>
    <x v="2"/>
  </r>
  <r>
    <s v="B3"/>
    <x v="2"/>
  </r>
  <r>
    <s v="B4"/>
    <x v="2"/>
  </r>
  <r>
    <s v="B5"/>
    <x v="2"/>
  </r>
  <r>
    <s v="B6"/>
    <x v="2"/>
  </r>
  <r>
    <s v="B7"/>
    <x v="2"/>
  </r>
  <r>
    <s v="B8"/>
    <x v="2"/>
  </r>
  <r>
    <s v="B9"/>
    <x v="2"/>
  </r>
  <r>
    <s v="BA"/>
    <x v="3"/>
  </r>
  <r>
    <s v="BB"/>
    <x v="4"/>
  </r>
  <r>
    <s v="BD"/>
    <x v="5"/>
  </r>
  <r>
    <s v="BH"/>
    <x v="3"/>
  </r>
  <r>
    <s v="BL"/>
    <x v="4"/>
  </r>
  <r>
    <s v="BN"/>
    <x v="1"/>
  </r>
  <r>
    <s v="BR"/>
    <x v="6"/>
  </r>
  <r>
    <s v="BS"/>
    <x v="3"/>
  </r>
  <r>
    <s v="CA"/>
    <x v="4"/>
  </r>
  <r>
    <s v="CB"/>
    <x v="7"/>
  </r>
  <r>
    <s v="CF"/>
    <x v="8"/>
  </r>
  <r>
    <s v="CH"/>
    <x v="4"/>
  </r>
  <r>
    <s v="CM"/>
    <x v="7"/>
  </r>
  <r>
    <s v="CO"/>
    <x v="7"/>
  </r>
  <r>
    <s v="CR"/>
    <x v="6"/>
  </r>
  <r>
    <s v="CT"/>
    <x v="1"/>
  </r>
  <r>
    <s v="CV"/>
    <x v="2"/>
  </r>
  <r>
    <s v="CW"/>
    <x v="4"/>
  </r>
  <r>
    <s v="DA"/>
    <x v="1"/>
  </r>
  <r>
    <s v="DD"/>
    <x v="0"/>
  </r>
  <r>
    <s v="DE"/>
    <x v="9"/>
  </r>
  <r>
    <s v="DG"/>
    <x v="0"/>
  </r>
  <r>
    <s v="DH"/>
    <x v="10"/>
  </r>
  <r>
    <s v="DL"/>
    <x v="10"/>
  </r>
  <r>
    <s v="DN"/>
    <x v="5"/>
  </r>
  <r>
    <s v="DT"/>
    <x v="3"/>
  </r>
  <r>
    <s v="DY"/>
    <x v="2"/>
  </r>
  <r>
    <s v="E1"/>
    <x v="6"/>
  </r>
  <r>
    <s v="E2"/>
    <x v="6"/>
  </r>
  <r>
    <s v="E3"/>
    <x v="6"/>
  </r>
  <r>
    <s v="E4"/>
    <x v="6"/>
  </r>
  <r>
    <s v="E5"/>
    <x v="6"/>
  </r>
  <r>
    <s v="E6"/>
    <x v="6"/>
  </r>
  <r>
    <s v="E7"/>
    <x v="6"/>
  </r>
  <r>
    <s v="E8"/>
    <x v="6"/>
  </r>
  <r>
    <s v="E9"/>
    <x v="6"/>
  </r>
  <r>
    <s v="EC"/>
    <x v="6"/>
  </r>
  <r>
    <s v="EH"/>
    <x v="0"/>
  </r>
  <r>
    <s v="EN"/>
    <x v="6"/>
  </r>
  <r>
    <s v="EX"/>
    <x v="3"/>
  </r>
  <r>
    <s v="FK"/>
    <x v="0"/>
  </r>
  <r>
    <s v="FY"/>
    <x v="4"/>
  </r>
  <r>
    <s v="G1"/>
    <x v="0"/>
  </r>
  <r>
    <s v="G2"/>
    <x v="0"/>
  </r>
  <r>
    <s v="G3"/>
    <x v="0"/>
  </r>
  <r>
    <s v="G4"/>
    <x v="0"/>
  </r>
  <r>
    <s v="G5"/>
    <x v="0"/>
  </r>
  <r>
    <s v="G6"/>
    <x v="0"/>
  </r>
  <r>
    <s v="G7"/>
    <x v="0"/>
  </r>
  <r>
    <s v="G8"/>
    <x v="0"/>
  </r>
  <r>
    <s v="G9"/>
    <x v="0"/>
  </r>
  <r>
    <s v="GL"/>
    <x v="3"/>
  </r>
  <r>
    <s v="GU"/>
    <x v="6"/>
  </r>
  <r>
    <s v="HA"/>
    <x v="6"/>
  </r>
  <r>
    <s v="HD"/>
    <x v="5"/>
  </r>
  <r>
    <s v="HG"/>
    <x v="5"/>
  </r>
  <r>
    <s v="HP"/>
    <x v="1"/>
  </r>
  <r>
    <s v="HR"/>
    <x v="2"/>
  </r>
  <r>
    <s v="HS"/>
    <x v="0"/>
  </r>
  <r>
    <s v="HU"/>
    <x v="5"/>
  </r>
  <r>
    <s v="HX"/>
    <x v="5"/>
  </r>
  <r>
    <s v="IG"/>
    <x v="6"/>
  </r>
  <r>
    <s v="IP"/>
    <x v="7"/>
  </r>
  <r>
    <s v="IV"/>
    <x v="0"/>
  </r>
  <r>
    <s v="KA"/>
    <x v="0"/>
  </r>
  <r>
    <s v="KT"/>
    <x v="6"/>
  </r>
  <r>
    <s v="KW"/>
    <x v="0"/>
  </r>
  <r>
    <s v="KY"/>
    <x v="0"/>
  </r>
  <r>
    <s v="L1"/>
    <x v="4"/>
  </r>
  <r>
    <s v="L2"/>
    <x v="4"/>
  </r>
  <r>
    <s v="L3"/>
    <x v="4"/>
  </r>
  <r>
    <s v="L4"/>
    <x v="4"/>
  </r>
  <r>
    <s v="L5"/>
    <x v="4"/>
  </r>
  <r>
    <s v="L6"/>
    <x v="4"/>
  </r>
  <r>
    <s v="L7"/>
    <x v="4"/>
  </r>
  <r>
    <s v="L8"/>
    <x v="4"/>
  </r>
  <r>
    <s v="L9"/>
    <x v="4"/>
  </r>
  <r>
    <s v="LA"/>
    <x v="4"/>
  </r>
  <r>
    <s v="LD"/>
    <x v="8"/>
  </r>
  <r>
    <s v="LE"/>
    <x v="9"/>
  </r>
  <r>
    <s v="LL"/>
    <x v="8"/>
  </r>
  <r>
    <s v="LN"/>
    <x v="9"/>
  </r>
  <r>
    <s v="LS"/>
    <x v="5"/>
  </r>
  <r>
    <s v="LU"/>
    <x v="1"/>
  </r>
  <r>
    <s v="M"/>
    <x v="4"/>
  </r>
  <r>
    <s v="M1"/>
    <x v="4"/>
  </r>
  <r>
    <s v="M2"/>
    <x v="4"/>
  </r>
  <r>
    <s v="M3"/>
    <x v="4"/>
  </r>
  <r>
    <s v="M4"/>
    <x v="4"/>
  </r>
  <r>
    <s v="M5"/>
    <x v="4"/>
  </r>
  <r>
    <s v="M6"/>
    <x v="4"/>
  </r>
  <r>
    <s v="M7"/>
    <x v="4"/>
  </r>
  <r>
    <s v="M8"/>
    <x v="4"/>
  </r>
  <r>
    <s v="M9"/>
    <x v="4"/>
  </r>
  <r>
    <s v="ME"/>
    <x v="1"/>
  </r>
  <r>
    <s v="MK"/>
    <x v="1"/>
  </r>
  <r>
    <s v="ML"/>
    <x v="0"/>
  </r>
  <r>
    <s v="N1"/>
    <x v="6"/>
  </r>
  <r>
    <s v="N2"/>
    <x v="6"/>
  </r>
  <r>
    <s v="N3"/>
    <x v="6"/>
  </r>
  <r>
    <s v="N4"/>
    <x v="6"/>
  </r>
  <r>
    <s v="N5"/>
    <x v="6"/>
  </r>
  <r>
    <s v="N6"/>
    <x v="6"/>
  </r>
  <r>
    <s v="N7"/>
    <x v="6"/>
  </r>
  <r>
    <s v="N8"/>
    <x v="6"/>
  </r>
  <r>
    <s v="N9"/>
    <x v="6"/>
  </r>
  <r>
    <s v="NE"/>
    <x v="10"/>
  </r>
  <r>
    <s v="NG"/>
    <x v="9"/>
  </r>
  <r>
    <s v="NN"/>
    <x v="9"/>
  </r>
  <r>
    <s v="NP"/>
    <x v="8"/>
  </r>
  <r>
    <s v="NR"/>
    <x v="7"/>
  </r>
  <r>
    <s v="NW"/>
    <x v="6"/>
  </r>
  <r>
    <s v="OL"/>
    <x v="4"/>
  </r>
  <r>
    <s v="OX"/>
    <x v="1"/>
  </r>
  <r>
    <s v="PA"/>
    <x v="0"/>
  </r>
  <r>
    <s v="PE"/>
    <x v="7"/>
  </r>
  <r>
    <s v="PH"/>
    <x v="0"/>
  </r>
  <r>
    <s v="PL"/>
    <x v="3"/>
  </r>
  <r>
    <s v="PO"/>
    <x v="1"/>
  </r>
  <r>
    <s v="PR"/>
    <x v="4"/>
  </r>
  <r>
    <s v="RG"/>
    <x v="1"/>
  </r>
  <r>
    <s v="RH"/>
    <x v="1"/>
  </r>
  <r>
    <s v="RM"/>
    <x v="6"/>
  </r>
  <r>
    <s v="S1"/>
    <x v="5"/>
  </r>
  <r>
    <s v="S2"/>
    <x v="5"/>
  </r>
  <r>
    <s v="S3"/>
    <x v="5"/>
  </r>
  <r>
    <s v="S4"/>
    <x v="5"/>
  </r>
  <r>
    <s v="S5"/>
    <x v="5"/>
  </r>
  <r>
    <s v="S6"/>
    <x v="5"/>
  </r>
  <r>
    <s v="S7"/>
    <x v="5"/>
  </r>
  <r>
    <s v="S8"/>
    <x v="5"/>
  </r>
  <r>
    <s v="S9"/>
    <x v="5"/>
  </r>
  <r>
    <s v="SA"/>
    <x v="8"/>
  </r>
  <r>
    <s v="SE"/>
    <x v="6"/>
  </r>
  <r>
    <s v="SG"/>
    <x v="1"/>
  </r>
  <r>
    <s v="SK"/>
    <x v="4"/>
  </r>
  <r>
    <s v="SL"/>
    <x v="1"/>
  </r>
  <r>
    <s v="SM"/>
    <x v="6"/>
  </r>
  <r>
    <s v="SN"/>
    <x v="3"/>
  </r>
  <r>
    <s v="SO"/>
    <x v="1"/>
  </r>
  <r>
    <s v="SP"/>
    <x v="3"/>
  </r>
  <r>
    <s v="SR"/>
    <x v="10"/>
  </r>
  <r>
    <s v="SS"/>
    <x v="7"/>
  </r>
  <r>
    <s v="ST"/>
    <x v="2"/>
  </r>
  <r>
    <s v="SW"/>
    <x v="6"/>
  </r>
  <r>
    <s v="SY"/>
    <x v="2"/>
  </r>
  <r>
    <s v="TA"/>
    <x v="3"/>
  </r>
  <r>
    <s v="TD"/>
    <x v="0"/>
  </r>
  <r>
    <s v="TF"/>
    <x v="2"/>
  </r>
  <r>
    <s v="TN"/>
    <x v="1"/>
  </r>
  <r>
    <s v="TQ"/>
    <x v="3"/>
  </r>
  <r>
    <s v="TR"/>
    <x v="3"/>
  </r>
  <r>
    <s v="TS"/>
    <x v="10"/>
  </r>
  <r>
    <s v="TW"/>
    <x v="6"/>
  </r>
  <r>
    <s v="UB"/>
    <x v="6"/>
  </r>
  <r>
    <s v="W1"/>
    <x v="6"/>
  </r>
  <r>
    <s v="W2"/>
    <x v="6"/>
  </r>
  <r>
    <s v="W3"/>
    <x v="6"/>
  </r>
  <r>
    <s v="W4"/>
    <x v="6"/>
  </r>
  <r>
    <s v="W5"/>
    <x v="6"/>
  </r>
  <r>
    <s v="W6"/>
    <x v="6"/>
  </r>
  <r>
    <s v="W7"/>
    <x v="6"/>
  </r>
  <r>
    <s v="W8"/>
    <x v="6"/>
  </r>
  <r>
    <s v="W9"/>
    <x v="6"/>
  </r>
  <r>
    <s v="WA"/>
    <x v="4"/>
  </r>
  <r>
    <s v="WC"/>
    <x v="6"/>
  </r>
  <r>
    <s v="WD"/>
    <x v="6"/>
  </r>
  <r>
    <s v="WF"/>
    <x v="5"/>
  </r>
  <r>
    <s v="WN"/>
    <x v="4"/>
  </r>
  <r>
    <s v="WR"/>
    <x v="2"/>
  </r>
  <r>
    <s v="WS"/>
    <x v="2"/>
  </r>
  <r>
    <s v="WV"/>
    <x v="2"/>
  </r>
  <r>
    <s v="YO"/>
    <x v="5"/>
  </r>
  <r>
    <s v="ZE"/>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800-000000000000}" name="PivotTable2" cacheId="0" dataOnRows="1" applyNumberFormats="0" applyBorderFormats="0" applyFontFormats="0" applyPatternFormats="0" applyAlignmentFormats="0" applyWidthHeightFormats="1" dataCaption="Data" updatedVersion="6" showMemberPropertyTips="0" useAutoFormatting="1" itemPrintTitles="1" createdVersion="1" indent="0" compact="0" compactData="0" gridDropZones="1">
  <location ref="H9:I22" firstHeaderRow="2" firstDataRow="2" firstDataCol="1"/>
  <pivotFields count="2">
    <pivotField compact="0" outline="0" subtotalTop="0" showAll="0" includeNewItemsInFilter="1"/>
    <pivotField axis="axisRow" dataField="1" compact="0" outline="0" subtotalTop="0" showAll="0" includeNewItemsInFilter="1">
      <items count="13">
        <item x="9"/>
        <item m="1" x="11"/>
        <item x="6"/>
        <item x="10"/>
        <item x="4"/>
        <item x="0"/>
        <item x="1"/>
        <item x="3"/>
        <item x="8"/>
        <item x="2"/>
        <item x="5"/>
        <item x="7"/>
        <item t="default"/>
      </items>
    </pivotField>
  </pivotFields>
  <rowFields count="1">
    <field x="1"/>
  </rowFields>
  <rowItems count="12">
    <i>
      <x/>
    </i>
    <i>
      <x v="2"/>
    </i>
    <i>
      <x v="3"/>
    </i>
    <i>
      <x v="4"/>
    </i>
    <i>
      <x v="5"/>
    </i>
    <i>
      <x v="6"/>
    </i>
    <i>
      <x v="7"/>
    </i>
    <i>
      <x v="8"/>
    </i>
    <i>
      <x v="9"/>
    </i>
    <i>
      <x v="10"/>
    </i>
    <i>
      <x v="11"/>
    </i>
    <i t="grand">
      <x/>
    </i>
  </rowItems>
  <colItems count="1">
    <i/>
  </colItems>
  <dataFields count="1">
    <dataField name="Count of REGION" fld="1" subtotal="count" baseField="0" baseItem="0"/>
  </dataFields>
  <formats count="6">
    <format dxfId="5">
      <pivotArea dataOnly="0" labelOnly="1" outline="0" fieldPosition="0">
        <references count="1">
          <reference field="1" count="1">
            <x v="3"/>
          </reference>
        </references>
      </pivotArea>
    </format>
    <format dxfId="4">
      <pivotArea dataOnly="0" labelOnly="1" outline="0" fieldPosition="0">
        <references count="1">
          <reference field="1" count="1">
            <x v="4"/>
          </reference>
        </references>
      </pivotArea>
    </format>
    <format dxfId="3">
      <pivotArea dataOnly="0" labelOnly="1" outline="0" fieldPosition="0">
        <references count="1">
          <reference field="1" count="1">
            <x v="10"/>
          </reference>
        </references>
      </pivotArea>
    </format>
    <format dxfId="2">
      <pivotArea dataOnly="0" labelOnly="1" outline="0" fieldPosition="0">
        <references count="1">
          <reference field="1" count="1">
            <x v="0"/>
          </reference>
        </references>
      </pivotArea>
    </format>
    <format dxfId="1">
      <pivotArea dataOnly="0" labelOnly="1" outline="0" fieldPosition="0">
        <references count="1">
          <reference field="1" count="1">
            <x v="9"/>
          </reference>
        </references>
      </pivotArea>
    </format>
    <format dxfId="0">
      <pivotArea dataOnly="0" labelOnly="1" outline="0" fieldPosition="0">
        <references count="1">
          <reference field="1" count="10">
            <x v="0"/>
            <x v="2"/>
            <x v="3"/>
            <x v="4"/>
            <x v="5"/>
            <x v="6"/>
            <x v="7"/>
            <x v="8"/>
            <x v="9"/>
            <x v="10"/>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1.bin"/><Relationship Id="rId1" Type="http://schemas.openxmlformats.org/officeDocument/2006/relationships/pivotTable" Target="../pivotTables/pivotTable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9D246-8857-4219-A4A8-7F6C8CD38D98}">
  <sheetPr>
    <tabColor rgb="FFFFC000"/>
    <pageSetUpPr fitToPage="1"/>
  </sheetPr>
  <dimension ref="A1:C21"/>
  <sheetViews>
    <sheetView showGridLines="0" zoomScale="80" zoomScaleNormal="80" workbookViewId="0">
      <selection activeCell="F4" sqref="F4"/>
    </sheetView>
  </sheetViews>
  <sheetFormatPr defaultColWidth="10.5703125" defaultRowHeight="15" x14ac:dyDescent="0.25"/>
  <cols>
    <col min="1" max="1" width="51.7109375" style="439" bestFit="1" customWidth="1"/>
    <col min="2" max="2" width="3.5703125" style="439" customWidth="1"/>
    <col min="3" max="3" width="94.140625" style="440" customWidth="1"/>
    <col min="4" max="16384" width="10.5703125" style="440"/>
  </cols>
  <sheetData>
    <row r="1" spans="1:3" ht="18" x14ac:dyDescent="0.25">
      <c r="A1" s="438" t="s">
        <v>665</v>
      </c>
    </row>
    <row r="2" spans="1:3" ht="18" x14ac:dyDescent="0.25">
      <c r="A2" s="441" t="s">
        <v>636</v>
      </c>
      <c r="B2" s="442"/>
    </row>
    <row r="3" spans="1:3" ht="18" x14ac:dyDescent="0.25">
      <c r="A3" s="441"/>
      <c r="B3" s="442"/>
    </row>
    <row r="4" spans="1:3" ht="129.75" customHeight="1" x14ac:dyDescent="0.25">
      <c r="A4" s="562" t="s">
        <v>637</v>
      </c>
      <c r="B4" s="563"/>
      <c r="C4" s="564"/>
    </row>
    <row r="5" spans="1:3" x14ac:dyDescent="0.25">
      <c r="A5" s="443"/>
    </row>
    <row r="6" spans="1:3" x14ac:dyDescent="0.25">
      <c r="A6" s="444" t="s">
        <v>638</v>
      </c>
      <c r="C6" s="445" t="s">
        <v>534</v>
      </c>
    </row>
    <row r="7" spans="1:3" x14ac:dyDescent="0.25">
      <c r="A7" s="444"/>
      <c r="C7" s="445"/>
    </row>
    <row r="8" spans="1:3" ht="28.5" x14ac:dyDescent="0.25">
      <c r="A8" s="444" t="s">
        <v>639</v>
      </c>
      <c r="B8" s="446"/>
      <c r="C8" s="447" t="s">
        <v>640</v>
      </c>
    </row>
    <row r="9" spans="1:3" s="439" customFormat="1" x14ac:dyDescent="0.25">
      <c r="A9" s="444"/>
      <c r="B9" s="446"/>
      <c r="C9" s="445"/>
    </row>
    <row r="10" spans="1:3" x14ac:dyDescent="0.25">
      <c r="A10" s="444" t="s">
        <v>641</v>
      </c>
      <c r="B10" s="448"/>
      <c r="C10" s="449" t="s">
        <v>666</v>
      </c>
    </row>
    <row r="11" spans="1:3" x14ac:dyDescent="0.25">
      <c r="A11" s="444"/>
      <c r="B11" s="448"/>
      <c r="C11" s="449"/>
    </row>
    <row r="12" spans="1:3" x14ac:dyDescent="0.2">
      <c r="A12" s="444" t="s">
        <v>642</v>
      </c>
      <c r="B12" s="448"/>
      <c r="C12" s="450" t="s">
        <v>667</v>
      </c>
    </row>
    <row r="13" spans="1:3" x14ac:dyDescent="0.2">
      <c r="A13" s="444"/>
      <c r="B13" s="448"/>
      <c r="C13" s="450"/>
    </row>
    <row r="14" spans="1:3" x14ac:dyDescent="0.25">
      <c r="A14" s="444" t="s">
        <v>643</v>
      </c>
      <c r="B14" s="448"/>
      <c r="C14" s="449" t="s">
        <v>644</v>
      </c>
    </row>
    <row r="15" spans="1:3" x14ac:dyDescent="0.25">
      <c r="A15" s="444"/>
      <c r="B15" s="448"/>
      <c r="C15" s="449"/>
    </row>
    <row r="16" spans="1:3" x14ac:dyDescent="0.25">
      <c r="A16" s="444" t="s">
        <v>645</v>
      </c>
      <c r="B16" s="448"/>
      <c r="C16" s="449" t="s">
        <v>668</v>
      </c>
    </row>
    <row r="17" spans="1:3" x14ac:dyDescent="0.2">
      <c r="A17" s="444"/>
      <c r="B17" s="448"/>
      <c r="C17" s="450"/>
    </row>
    <row r="18" spans="1:3" x14ac:dyDescent="0.25">
      <c r="A18" s="444" t="s">
        <v>646</v>
      </c>
      <c r="B18" s="448"/>
      <c r="C18" s="449" t="s">
        <v>647</v>
      </c>
    </row>
    <row r="19" spans="1:3" x14ac:dyDescent="0.2">
      <c r="A19" s="444"/>
      <c r="B19" s="448"/>
      <c r="C19" s="450"/>
    </row>
    <row r="20" spans="1:3" x14ac:dyDescent="0.2">
      <c r="A20" s="444" t="s">
        <v>648</v>
      </c>
      <c r="B20" s="448"/>
      <c r="C20" s="450" t="s">
        <v>649</v>
      </c>
    </row>
    <row r="21" spans="1:3" x14ac:dyDescent="0.2">
      <c r="A21" s="448"/>
      <c r="B21" s="451"/>
      <c r="C21" s="452"/>
    </row>
  </sheetData>
  <sheetProtection algorithmName="SHA-512" hashValue="aj1qlvuF6yZOIsMqlR1yf1oD2MB6J+QBRPbjqTOWo3oTgrjy7uNMrp40as0Ggty6CtPGe4fzvW4m+JGxemoXPA==" saltValue="r08AYUepC0v06g83NRh1RA==" spinCount="100000" sheet="1" objects="1" scenarios="1"/>
  <mergeCells count="1">
    <mergeCell ref="A4:C4"/>
  </mergeCells>
  <pageMargins left="0.70866141732283472" right="0.70866141732283472" top="0.74803149606299213" bottom="0.74803149606299213" header="0.31496062992125984" footer="0.31496062992125984"/>
  <pageSetup paperSize="9" scale="84" orientation="landscape" horizontalDpi="4294967294" verticalDpi="4294967294" r:id="rId1"/>
  <headerFooter>
    <oddFooter>&amp;C_x000D_&amp;1#&amp;"Calibri"&amp;10&amp;K000000 HIGHLY CONFIDENTIAL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F98D3-1AF2-4B15-A9B4-90BD8DF8C109}">
  <sheetPr>
    <tabColor rgb="FFFFC000"/>
    <pageSetUpPr fitToPage="1"/>
  </sheetPr>
  <dimension ref="A1:A41"/>
  <sheetViews>
    <sheetView showGridLines="0" zoomScale="80" zoomScaleNormal="80" workbookViewId="0">
      <selection activeCell="F4" sqref="F4"/>
    </sheetView>
  </sheetViews>
  <sheetFormatPr defaultColWidth="10.5703125" defaultRowHeight="15" x14ac:dyDescent="0.25"/>
  <cols>
    <col min="1" max="1" width="141.85546875" style="439" customWidth="1"/>
    <col min="2" max="16384" width="10.5703125" style="440"/>
  </cols>
  <sheetData>
    <row r="1" spans="1:1" ht="18" x14ac:dyDescent="0.25">
      <c r="A1" s="453" t="str">
        <f>'Summary Details'!A1</f>
        <v>HRBS Affordability Calculator - Owner Occupier</v>
      </c>
    </row>
    <row r="2" spans="1:1" ht="18" x14ac:dyDescent="0.25">
      <c r="A2" s="441" t="s">
        <v>650</v>
      </c>
    </row>
    <row r="3" spans="1:1" ht="18" x14ac:dyDescent="0.25">
      <c r="A3" s="441"/>
    </row>
    <row r="4" spans="1:1" x14ac:dyDescent="0.25">
      <c r="A4" s="444" t="s">
        <v>651</v>
      </c>
    </row>
    <row r="5" spans="1:1" ht="71.25" x14ac:dyDescent="0.25">
      <c r="A5" s="454" t="s">
        <v>669</v>
      </c>
    </row>
    <row r="6" spans="1:1" x14ac:dyDescent="0.25">
      <c r="A6" s="443"/>
    </row>
    <row r="7" spans="1:1" x14ac:dyDescent="0.25">
      <c r="A7" s="444" t="s">
        <v>652</v>
      </c>
    </row>
    <row r="8" spans="1:1" x14ac:dyDescent="0.25">
      <c r="A8" s="444"/>
    </row>
    <row r="9" spans="1:1" x14ac:dyDescent="0.25">
      <c r="A9" s="444"/>
    </row>
    <row r="10" spans="1:1" x14ac:dyDescent="0.25">
      <c r="A10" s="444"/>
    </row>
    <row r="11" spans="1:1" x14ac:dyDescent="0.25">
      <c r="A11" s="444"/>
    </row>
    <row r="12" spans="1:1" x14ac:dyDescent="0.25">
      <c r="A12" s="443"/>
    </row>
    <row r="13" spans="1:1" x14ac:dyDescent="0.25">
      <c r="A13" s="444" t="s">
        <v>653</v>
      </c>
    </row>
    <row r="14" spans="1:1" ht="159" customHeight="1" x14ac:dyDescent="0.25">
      <c r="A14" s="455" t="s">
        <v>670</v>
      </c>
    </row>
    <row r="15" spans="1:1" s="439" customFormat="1" x14ac:dyDescent="0.25"/>
    <row r="16" spans="1:1" x14ac:dyDescent="0.25">
      <c r="A16" s="444" t="s">
        <v>654</v>
      </c>
    </row>
    <row r="17" spans="1:1" ht="155.25" customHeight="1" x14ac:dyDescent="0.25">
      <c r="A17" s="455" t="s">
        <v>655</v>
      </c>
    </row>
    <row r="18" spans="1:1" x14ac:dyDescent="0.25">
      <c r="A18" s="443"/>
    </row>
    <row r="19" spans="1:1" x14ac:dyDescent="0.25">
      <c r="A19" s="444" t="s">
        <v>656</v>
      </c>
    </row>
    <row r="20" spans="1:1" ht="42" customHeight="1" x14ac:dyDescent="0.25">
      <c r="A20" s="455" t="s">
        <v>671</v>
      </c>
    </row>
    <row r="21" spans="1:1" x14ac:dyDescent="0.25">
      <c r="A21" s="443"/>
    </row>
    <row r="22" spans="1:1" x14ac:dyDescent="0.25">
      <c r="A22" s="444" t="s">
        <v>657</v>
      </c>
    </row>
    <row r="23" spans="1:1" ht="88.5" customHeight="1" x14ac:dyDescent="0.25">
      <c r="A23" s="455" t="s">
        <v>658</v>
      </c>
    </row>
    <row r="24" spans="1:1" x14ac:dyDescent="0.25">
      <c r="A24" s="443"/>
    </row>
    <row r="25" spans="1:1" x14ac:dyDescent="0.25">
      <c r="A25" s="444" t="s">
        <v>659</v>
      </c>
    </row>
    <row r="26" spans="1:1" ht="14.25" x14ac:dyDescent="0.25">
      <c r="A26" s="455"/>
    </row>
    <row r="27" spans="1:1" x14ac:dyDescent="0.25">
      <c r="A27" s="443"/>
    </row>
    <row r="28" spans="1:1" x14ac:dyDescent="0.25">
      <c r="A28" s="444" t="s">
        <v>660</v>
      </c>
    </row>
    <row r="29" spans="1:1" ht="57" x14ac:dyDescent="0.25">
      <c r="A29" s="455" t="s">
        <v>661</v>
      </c>
    </row>
    <row r="30" spans="1:1" x14ac:dyDescent="0.25">
      <c r="A30" s="448"/>
    </row>
    <row r="31" spans="1:1" x14ac:dyDescent="0.25">
      <c r="A31" s="444" t="s">
        <v>662</v>
      </c>
    </row>
    <row r="32" spans="1:1" ht="99.75" x14ac:dyDescent="0.25">
      <c r="A32" s="455" t="s">
        <v>663</v>
      </c>
    </row>
    <row r="34" spans="1:1" x14ac:dyDescent="0.25">
      <c r="A34" s="444" t="s">
        <v>664</v>
      </c>
    </row>
    <row r="35" spans="1:1" ht="14.25" x14ac:dyDescent="0.25">
      <c r="A35" s="458" t="s">
        <v>672</v>
      </c>
    </row>
    <row r="36" spans="1:1" ht="14.25" x14ac:dyDescent="0.25">
      <c r="A36" s="459" t="s">
        <v>673</v>
      </c>
    </row>
    <row r="37" spans="1:1" ht="14.25" x14ac:dyDescent="0.25">
      <c r="A37" s="460" t="s">
        <v>674</v>
      </c>
    </row>
    <row r="38" spans="1:1" x14ac:dyDescent="0.25">
      <c r="A38" s="456"/>
    </row>
    <row r="39" spans="1:1" x14ac:dyDescent="0.25">
      <c r="A39" s="456"/>
    </row>
    <row r="40" spans="1:1" x14ac:dyDescent="0.25">
      <c r="A40" s="456"/>
    </row>
    <row r="41" spans="1:1" x14ac:dyDescent="0.25">
      <c r="A41" s="457"/>
    </row>
  </sheetData>
  <sheetProtection algorithmName="SHA-512" hashValue="j5ny2YPaIo6wHMHPEoC4PSZ3VGZJ6TxzOTXmwQYVQqP6xFjo/4GkV5qyJGi2TgRGuQJM0rdPLweuyXEQgQavgw==" saltValue="5CuGVJUn4NCfHEGDo8uPTw==" spinCount="100000" sheet="1" objects="1" scenarios="1"/>
  <pageMargins left="0.51181102362204722" right="0.51181102362204722" top="0.39370078740157483" bottom="0.39370078740157483" header="0.31496062992125984" footer="0.31496062992125984"/>
  <pageSetup paperSize="9" scale="60" orientation="portrait" horizontalDpi="4294967294" verticalDpi="4294967294" r:id="rId1"/>
  <headerFooter>
    <oddFooter>&amp;C_x000D_&amp;1#&amp;"Calibri"&amp;10&amp;K000000 HIGHLY 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BE2C4-E950-4CCE-BA31-3ECC535A5153}">
  <sheetPr codeName="Sheet3">
    <tabColor rgb="FFFFC000"/>
  </sheetPr>
  <dimension ref="A1:D55"/>
  <sheetViews>
    <sheetView showGridLines="0" zoomScale="80" zoomScaleNormal="80" workbookViewId="0">
      <pane ySplit="1" topLeftCell="A33" activePane="bottomLeft" state="frozen"/>
      <selection pane="bottomLeft" activeCell="A55" sqref="A55"/>
    </sheetView>
  </sheetViews>
  <sheetFormatPr defaultRowHeight="15" x14ac:dyDescent="0.25"/>
  <cols>
    <col min="1" max="1" width="11.5703125" style="61" bestFit="1" customWidth="1"/>
    <col min="2" max="2" width="78.85546875" style="58" customWidth="1"/>
    <col min="3" max="3" width="15" style="196" bestFit="1" customWidth="1"/>
    <col min="4" max="4" width="15.7109375" style="59" bestFit="1" customWidth="1"/>
    <col min="5" max="16384" width="9.140625" style="60"/>
  </cols>
  <sheetData>
    <row r="1" spans="1:4" s="56" customFormat="1" x14ac:dyDescent="0.25">
      <c r="A1" s="53" t="s">
        <v>138</v>
      </c>
      <c r="B1" s="54" t="s">
        <v>341</v>
      </c>
      <c r="C1" s="205" t="s">
        <v>580</v>
      </c>
      <c r="D1" s="55" t="s">
        <v>342</v>
      </c>
    </row>
    <row r="2" spans="1:4" x14ac:dyDescent="0.25">
      <c r="A2" s="57">
        <v>43900</v>
      </c>
      <c r="B2" s="58" t="s">
        <v>343</v>
      </c>
      <c r="C2" s="196" t="s">
        <v>579</v>
      </c>
    </row>
    <row r="3" spans="1:4" x14ac:dyDescent="0.25">
      <c r="A3" s="57">
        <v>43937</v>
      </c>
      <c r="B3" s="58" t="s">
        <v>344</v>
      </c>
      <c r="C3" s="196" t="s">
        <v>579</v>
      </c>
    </row>
    <row r="4" spans="1:4" ht="30" x14ac:dyDescent="0.25">
      <c r="A4" s="57">
        <v>43994</v>
      </c>
      <c r="B4" s="58" t="s">
        <v>345</v>
      </c>
      <c r="C4" s="196" t="s">
        <v>579</v>
      </c>
    </row>
    <row r="5" spans="1:4" x14ac:dyDescent="0.25">
      <c r="A5" s="57">
        <v>44516</v>
      </c>
      <c r="B5" s="58" t="s">
        <v>346</v>
      </c>
      <c r="C5" s="196" t="s">
        <v>579</v>
      </c>
    </row>
    <row r="6" spans="1:4" x14ac:dyDescent="0.25">
      <c r="A6" s="57">
        <v>44573</v>
      </c>
      <c r="B6" s="58" t="s">
        <v>347</v>
      </c>
      <c r="C6" s="196" t="s">
        <v>579</v>
      </c>
    </row>
    <row r="7" spans="1:4" x14ac:dyDescent="0.25">
      <c r="A7" s="57">
        <v>44620</v>
      </c>
      <c r="B7" s="58" t="s">
        <v>347</v>
      </c>
      <c r="C7" s="196" t="s">
        <v>579</v>
      </c>
    </row>
    <row r="8" spans="1:4" x14ac:dyDescent="0.25">
      <c r="A8" s="57">
        <v>44754</v>
      </c>
      <c r="B8" s="58" t="s">
        <v>350</v>
      </c>
      <c r="C8" s="196" t="s">
        <v>579</v>
      </c>
    </row>
    <row r="9" spans="1:4" x14ac:dyDescent="0.25">
      <c r="A9" s="57">
        <v>44825</v>
      </c>
      <c r="B9" s="58" t="s">
        <v>347</v>
      </c>
      <c r="C9" s="196" t="s">
        <v>579</v>
      </c>
    </row>
    <row r="10" spans="1:4" x14ac:dyDescent="0.25">
      <c r="A10" s="57">
        <v>44848</v>
      </c>
      <c r="B10" s="58" t="s">
        <v>347</v>
      </c>
      <c r="C10" s="196" t="s">
        <v>579</v>
      </c>
    </row>
    <row r="11" spans="1:4" x14ac:dyDescent="0.25">
      <c r="A11" s="57">
        <v>44876</v>
      </c>
      <c r="B11" s="58" t="s">
        <v>347</v>
      </c>
      <c r="C11" s="196" t="s">
        <v>579</v>
      </c>
    </row>
    <row r="12" spans="1:4" x14ac:dyDescent="0.25">
      <c r="A12" s="57">
        <v>44943</v>
      </c>
      <c r="B12" s="58" t="s">
        <v>347</v>
      </c>
      <c r="C12" s="196" t="s">
        <v>579</v>
      </c>
    </row>
    <row r="13" spans="1:4" x14ac:dyDescent="0.25">
      <c r="A13" s="57">
        <v>44987</v>
      </c>
      <c r="B13" s="58" t="s">
        <v>351</v>
      </c>
      <c r="C13" s="196" t="s">
        <v>579</v>
      </c>
    </row>
    <row r="14" spans="1:4" x14ac:dyDescent="0.25">
      <c r="A14" s="57">
        <v>45107</v>
      </c>
      <c r="B14" s="58" t="s">
        <v>361</v>
      </c>
      <c r="C14" s="196" t="s">
        <v>579</v>
      </c>
    </row>
    <row r="15" spans="1:4" x14ac:dyDescent="0.25">
      <c r="A15" s="57">
        <v>45126</v>
      </c>
      <c r="B15" s="58" t="s">
        <v>361</v>
      </c>
      <c r="C15" s="196" t="s">
        <v>579</v>
      </c>
    </row>
    <row r="16" spans="1:4" x14ac:dyDescent="0.25">
      <c r="A16" s="57">
        <v>43937</v>
      </c>
      <c r="B16" s="58" t="s">
        <v>374</v>
      </c>
      <c r="C16" s="201" t="s">
        <v>562</v>
      </c>
    </row>
    <row r="17" spans="1:4" x14ac:dyDescent="0.25">
      <c r="A17" s="57">
        <v>44034</v>
      </c>
      <c r="B17" s="248" t="s">
        <v>373</v>
      </c>
      <c r="C17" s="201" t="s">
        <v>562</v>
      </c>
    </row>
    <row r="18" spans="1:4" x14ac:dyDescent="0.25">
      <c r="A18" s="57">
        <v>44110</v>
      </c>
      <c r="B18" s="58" t="s">
        <v>372</v>
      </c>
      <c r="C18" s="201" t="s">
        <v>562</v>
      </c>
    </row>
    <row r="19" spans="1:4" x14ac:dyDescent="0.25">
      <c r="A19" s="57">
        <v>44295</v>
      </c>
      <c r="B19" s="58" t="s">
        <v>371</v>
      </c>
      <c r="C19" s="201" t="s">
        <v>562</v>
      </c>
    </row>
    <row r="20" spans="1:4" x14ac:dyDescent="0.25">
      <c r="A20" s="57">
        <v>44502</v>
      </c>
      <c r="B20" s="58" t="s">
        <v>370</v>
      </c>
      <c r="C20" s="201" t="s">
        <v>562</v>
      </c>
    </row>
    <row r="21" spans="1:4" x14ac:dyDescent="0.25">
      <c r="A21" s="57">
        <v>44516</v>
      </c>
      <c r="B21" s="58" t="s">
        <v>369</v>
      </c>
      <c r="C21" s="201" t="s">
        <v>562</v>
      </c>
    </row>
    <row r="22" spans="1:4" x14ac:dyDescent="0.25">
      <c r="A22" s="57">
        <v>44525</v>
      </c>
      <c r="B22" s="58" t="s">
        <v>368</v>
      </c>
      <c r="C22" s="201" t="s">
        <v>562</v>
      </c>
    </row>
    <row r="23" spans="1:4" x14ac:dyDescent="0.25">
      <c r="A23" s="57">
        <v>44573</v>
      </c>
      <c r="B23" s="58" t="s">
        <v>361</v>
      </c>
      <c r="C23" s="201" t="s">
        <v>562</v>
      </c>
    </row>
    <row r="24" spans="1:4" x14ac:dyDescent="0.25">
      <c r="A24" s="57">
        <v>44620</v>
      </c>
      <c r="B24" s="58" t="s">
        <v>361</v>
      </c>
      <c r="C24" s="201" t="s">
        <v>562</v>
      </c>
      <c r="D24" s="60"/>
    </row>
    <row r="25" spans="1:4" x14ac:dyDescent="0.25">
      <c r="A25" s="57">
        <v>44697</v>
      </c>
      <c r="B25" s="58" t="s">
        <v>367</v>
      </c>
      <c r="C25" s="201" t="s">
        <v>562</v>
      </c>
    </row>
    <row r="26" spans="1:4" x14ac:dyDescent="0.25">
      <c r="A26" s="57">
        <v>44755</v>
      </c>
      <c r="B26" s="58" t="s">
        <v>366</v>
      </c>
      <c r="C26" s="201" t="s">
        <v>562</v>
      </c>
    </row>
    <row r="27" spans="1:4" x14ac:dyDescent="0.25">
      <c r="A27" s="57">
        <v>44763</v>
      </c>
      <c r="B27" s="58" t="s">
        <v>365</v>
      </c>
      <c r="C27" s="201" t="s">
        <v>562</v>
      </c>
    </row>
    <row r="28" spans="1:4" x14ac:dyDescent="0.25">
      <c r="A28" s="57">
        <v>44825</v>
      </c>
      <c r="B28" s="58" t="s">
        <v>361</v>
      </c>
      <c r="C28" s="201" t="s">
        <v>562</v>
      </c>
    </row>
    <row r="29" spans="1:4" x14ac:dyDescent="0.25">
      <c r="A29" s="57">
        <v>44848</v>
      </c>
      <c r="B29" s="58" t="s">
        <v>361</v>
      </c>
      <c r="C29" s="201" t="s">
        <v>562</v>
      </c>
    </row>
    <row r="30" spans="1:4" x14ac:dyDescent="0.25">
      <c r="A30" s="57">
        <v>44876</v>
      </c>
      <c r="B30" s="58" t="s">
        <v>364</v>
      </c>
      <c r="C30" s="201" t="s">
        <v>562</v>
      </c>
    </row>
    <row r="31" spans="1:4" x14ac:dyDescent="0.25">
      <c r="A31" s="57">
        <v>44880</v>
      </c>
      <c r="B31" s="58" t="s">
        <v>363</v>
      </c>
      <c r="C31" s="201" t="s">
        <v>562</v>
      </c>
    </row>
    <row r="32" spans="1:4" ht="30" x14ac:dyDescent="0.25">
      <c r="A32" s="57">
        <v>44889</v>
      </c>
      <c r="B32" s="58" t="s">
        <v>362</v>
      </c>
      <c r="C32" s="201" t="s">
        <v>562</v>
      </c>
    </row>
    <row r="33" spans="1:4" x14ac:dyDescent="0.25">
      <c r="A33" s="57">
        <v>44943</v>
      </c>
      <c r="B33" s="58" t="s">
        <v>361</v>
      </c>
      <c r="C33" s="201" t="s">
        <v>562</v>
      </c>
    </row>
    <row r="34" spans="1:4" x14ac:dyDescent="0.25">
      <c r="A34" s="57">
        <v>44987</v>
      </c>
      <c r="B34" s="58" t="s">
        <v>360</v>
      </c>
      <c r="C34" s="201" t="s">
        <v>562</v>
      </c>
    </row>
    <row r="35" spans="1:4" ht="30" x14ac:dyDescent="0.25">
      <c r="A35" s="57">
        <v>45035</v>
      </c>
      <c r="B35" s="58" t="s">
        <v>359</v>
      </c>
      <c r="C35" s="201" t="s">
        <v>562</v>
      </c>
    </row>
    <row r="36" spans="1:4" x14ac:dyDescent="0.25">
      <c r="A36" s="57">
        <v>45107</v>
      </c>
      <c r="B36" s="58" t="s">
        <v>347</v>
      </c>
      <c r="C36" s="201" t="s">
        <v>562</v>
      </c>
    </row>
    <row r="37" spans="1:4" x14ac:dyDescent="0.25">
      <c r="A37" s="57">
        <v>45126</v>
      </c>
      <c r="B37" s="58" t="s">
        <v>347</v>
      </c>
      <c r="C37" s="201" t="s">
        <v>562</v>
      </c>
    </row>
    <row r="38" spans="1:4" x14ac:dyDescent="0.25">
      <c r="A38" s="57">
        <v>45133</v>
      </c>
      <c r="B38" s="58" t="s">
        <v>563</v>
      </c>
      <c r="C38" s="201"/>
      <c r="D38" s="60"/>
    </row>
    <row r="39" spans="1:4" ht="75" x14ac:dyDescent="0.25">
      <c r="A39" s="57">
        <v>45133</v>
      </c>
      <c r="B39" s="58" t="s">
        <v>595</v>
      </c>
      <c r="C39" s="80" t="s">
        <v>562</v>
      </c>
    </row>
    <row r="40" spans="1:4" ht="75" x14ac:dyDescent="0.25">
      <c r="A40" s="57">
        <v>45133</v>
      </c>
      <c r="B40" s="58" t="s">
        <v>596</v>
      </c>
      <c r="C40" s="80" t="s">
        <v>579</v>
      </c>
    </row>
    <row r="41" spans="1:4" ht="45" x14ac:dyDescent="0.25">
      <c r="A41" s="57">
        <v>45133</v>
      </c>
      <c r="B41" s="58" t="s">
        <v>597</v>
      </c>
      <c r="C41" s="80" t="s">
        <v>579</v>
      </c>
    </row>
    <row r="42" spans="1:4" x14ac:dyDescent="0.25">
      <c r="A42" s="57">
        <v>45141</v>
      </c>
      <c r="B42" s="58" t="s">
        <v>347</v>
      </c>
      <c r="C42" s="201"/>
      <c r="D42" s="59">
        <v>1</v>
      </c>
    </row>
    <row r="43" spans="1:4" x14ac:dyDescent="0.25">
      <c r="A43" s="565">
        <v>45468</v>
      </c>
      <c r="B43" s="249" t="s">
        <v>601</v>
      </c>
      <c r="C43" s="250" t="s">
        <v>605</v>
      </c>
      <c r="D43" s="568">
        <v>2</v>
      </c>
    </row>
    <row r="44" spans="1:4" x14ac:dyDescent="0.25">
      <c r="A44" s="566"/>
      <c r="B44" s="58" t="s">
        <v>602</v>
      </c>
      <c r="C44" s="196" t="s">
        <v>562</v>
      </c>
      <c r="D44" s="569"/>
    </row>
    <row r="45" spans="1:4" x14ac:dyDescent="0.25">
      <c r="A45" s="566"/>
      <c r="B45" s="58" t="s">
        <v>603</v>
      </c>
      <c r="C45" s="196" t="s">
        <v>562</v>
      </c>
      <c r="D45" s="569"/>
    </row>
    <row r="46" spans="1:4" x14ac:dyDescent="0.25">
      <c r="A46" s="567"/>
      <c r="B46" s="251" t="s">
        <v>604</v>
      </c>
      <c r="C46" s="252" t="s">
        <v>562</v>
      </c>
      <c r="D46" s="570"/>
    </row>
    <row r="47" spans="1:4" x14ac:dyDescent="0.25">
      <c r="A47" s="57">
        <v>45521</v>
      </c>
      <c r="B47" s="58" t="s">
        <v>347</v>
      </c>
      <c r="C47" s="196" t="s">
        <v>605</v>
      </c>
      <c r="D47" s="59">
        <v>3</v>
      </c>
    </row>
    <row r="48" spans="1:4" x14ac:dyDescent="0.25">
      <c r="A48" s="57">
        <v>45552</v>
      </c>
      <c r="B48" s="58" t="s">
        <v>607</v>
      </c>
      <c r="C48" s="196" t="s">
        <v>562</v>
      </c>
      <c r="D48" s="59">
        <v>4</v>
      </c>
    </row>
    <row r="49" spans="1:4" x14ac:dyDescent="0.25">
      <c r="A49" s="57">
        <v>45562</v>
      </c>
      <c r="B49" s="58" t="s">
        <v>609</v>
      </c>
      <c r="C49" s="196" t="s">
        <v>608</v>
      </c>
      <c r="D49" s="59">
        <v>5</v>
      </c>
    </row>
    <row r="50" spans="1:4" x14ac:dyDescent="0.25">
      <c r="A50" s="57">
        <v>45614</v>
      </c>
      <c r="B50" s="58" t="s">
        <v>347</v>
      </c>
      <c r="C50" s="196" t="s">
        <v>605</v>
      </c>
      <c r="D50" s="59">
        <v>6</v>
      </c>
    </row>
    <row r="51" spans="1:4" x14ac:dyDescent="0.25">
      <c r="A51" s="57">
        <v>45718</v>
      </c>
      <c r="B51" s="58" t="s">
        <v>635</v>
      </c>
      <c r="C51" s="196" t="s">
        <v>605</v>
      </c>
      <c r="D51" s="59">
        <v>7</v>
      </c>
    </row>
    <row r="52" spans="1:4" x14ac:dyDescent="0.25">
      <c r="A52" s="57">
        <v>45828</v>
      </c>
      <c r="B52" s="58" t="s">
        <v>347</v>
      </c>
      <c r="C52" s="196" t="s">
        <v>605</v>
      </c>
      <c r="D52" s="59">
        <v>8</v>
      </c>
    </row>
    <row r="53" spans="1:4" x14ac:dyDescent="0.25">
      <c r="A53" s="57">
        <v>45833</v>
      </c>
      <c r="B53" s="58" t="s">
        <v>676</v>
      </c>
      <c r="C53" s="196" t="s">
        <v>675</v>
      </c>
      <c r="D53" s="59">
        <v>9</v>
      </c>
    </row>
    <row r="54" spans="1:4" x14ac:dyDescent="0.25">
      <c r="A54" s="57">
        <v>45912</v>
      </c>
      <c r="B54" s="58" t="s">
        <v>347</v>
      </c>
      <c r="C54" s="196" t="s">
        <v>605</v>
      </c>
      <c r="D54" s="59">
        <v>10</v>
      </c>
    </row>
    <row r="55" spans="1:4" x14ac:dyDescent="0.25">
      <c r="A55" s="57">
        <v>46070</v>
      </c>
      <c r="B55" s="58" t="s">
        <v>677</v>
      </c>
      <c r="C55" s="196" t="s">
        <v>605</v>
      </c>
      <c r="D55" s="59">
        <v>11</v>
      </c>
    </row>
  </sheetData>
  <sheetProtection algorithmName="SHA-512" hashValue="OxdfWyBPooR7pYxnYBu71rjdic56bPOX9SaHYYOEzcFkk5Sk1ObYMGkgS0xLIUIkGUXJAS9OW2B8Hab1l6byVw==" saltValue="G+7iPqwQqdarScwZDudomw==" spinCount="100000" sheet="1" objects="1" scenarios="1"/>
  <mergeCells count="2">
    <mergeCell ref="A43:A46"/>
    <mergeCell ref="D43:D46"/>
  </mergeCells>
  <pageMargins left="0.7" right="0.7" top="0.75" bottom="0.75" header="0.3" footer="0.3"/>
  <pageSetup paperSize="9" scale="26" orientation="portrait" verticalDpi="0" r:id="rId1"/>
  <headerFooter>
    <oddFooter>&amp;C_x000D_&amp;1#&amp;"Calibri"&amp;10&amp;K000000 HIGHLY CONFIDENTIAL</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96DCE-742A-4E2E-A481-0D7D36CABC68}">
  <sheetPr codeName="Sheet12">
    <pageSetUpPr fitToPage="1"/>
  </sheetPr>
  <dimension ref="A1:BU322"/>
  <sheetViews>
    <sheetView showGridLines="0" zoomScale="80" zoomScaleNormal="80" zoomScaleSheetLayoutView="90" workbookViewId="0">
      <selection activeCell="E2" sqref="E2:N2"/>
    </sheetView>
  </sheetViews>
  <sheetFormatPr defaultColWidth="9.140625" defaultRowHeight="15" x14ac:dyDescent="0.25"/>
  <cols>
    <col min="1" max="1" width="5.28515625" style="387" customWidth="1"/>
    <col min="2" max="2" width="7.85546875" style="255" customWidth="1"/>
    <col min="3" max="3" width="10" style="255" customWidth="1"/>
    <col min="4" max="4" width="10.28515625" style="255" customWidth="1"/>
    <col min="5" max="5" width="6.140625" style="255" customWidth="1"/>
    <col min="6" max="6" width="7.140625" style="255" customWidth="1"/>
    <col min="7" max="7" width="1.85546875" style="255" customWidth="1"/>
    <col min="8" max="8" width="5.85546875" style="255" customWidth="1"/>
    <col min="9" max="9" width="6.42578125" style="255" customWidth="1"/>
    <col min="10" max="10" width="5.5703125" style="255" customWidth="1"/>
    <col min="11" max="11" width="5.140625" style="255" customWidth="1"/>
    <col min="12" max="12" width="5" style="255" customWidth="1"/>
    <col min="13" max="13" width="6.28515625" style="255" customWidth="1"/>
    <col min="14" max="14" width="5.42578125" style="255" customWidth="1"/>
    <col min="15" max="16" width="5.140625" style="255" customWidth="1"/>
    <col min="17" max="17" width="6.28515625" style="255" customWidth="1"/>
    <col min="18" max="18" width="6.85546875" style="255" customWidth="1"/>
    <col min="19" max="19" width="3.85546875" style="255" customWidth="1"/>
    <col min="20" max="20" width="11.28515625" style="255" customWidth="1"/>
    <col min="21" max="21" width="5.42578125" style="255" customWidth="1"/>
    <col min="22" max="22" width="5" style="255" customWidth="1"/>
    <col min="23" max="23" width="3.42578125" style="255" customWidth="1"/>
    <col min="24" max="24" width="9.85546875" style="71" bestFit="1" customWidth="1"/>
    <col min="25" max="25" width="12.7109375" style="71" customWidth="1"/>
    <col min="26" max="26" width="15.5703125" style="71" customWidth="1"/>
    <col min="27" max="27" width="9.85546875" style="71" bestFit="1" customWidth="1"/>
    <col min="28" max="28" width="9.140625" style="71"/>
    <col min="29" max="29" width="11.5703125" style="71" customWidth="1"/>
    <col min="30" max="30" width="9.140625" style="71"/>
    <col min="31" max="31" width="9.5703125" style="71" customWidth="1"/>
    <col min="32" max="32" width="9.140625" style="71" customWidth="1"/>
    <col min="33" max="33" width="6.85546875" style="71" customWidth="1"/>
    <col min="34" max="73" width="9.140625" style="71"/>
    <col min="74" max="16384" width="9.140625" style="255"/>
  </cols>
  <sheetData>
    <row r="1" spans="1:33" ht="13.5" customHeight="1" x14ac:dyDescent="0.25">
      <c r="A1" s="253"/>
      <c r="B1" s="254" t="s">
        <v>499</v>
      </c>
      <c r="D1" s="256"/>
      <c r="E1" s="256"/>
      <c r="F1" s="256"/>
      <c r="G1" s="256"/>
      <c r="H1" s="256"/>
      <c r="I1" s="256"/>
      <c r="J1" s="256"/>
      <c r="K1" s="256"/>
      <c r="L1" s="256"/>
      <c r="M1" s="256"/>
      <c r="N1" s="256"/>
      <c r="O1" s="256"/>
      <c r="P1" s="256"/>
      <c r="Q1" s="256"/>
      <c r="R1" s="256"/>
      <c r="S1" s="257"/>
      <c r="T1" s="600"/>
      <c r="U1" s="600"/>
      <c r="V1" s="600"/>
      <c r="W1" s="62"/>
      <c r="X1" s="72"/>
      <c r="Y1" s="72"/>
      <c r="Z1" s="72"/>
      <c r="AA1" s="72"/>
      <c r="AB1" s="72"/>
      <c r="AC1" s="72"/>
      <c r="AD1" s="72"/>
      <c r="AE1" s="72"/>
      <c r="AF1" s="72"/>
      <c r="AG1" s="72"/>
    </row>
    <row r="2" spans="1:33" ht="13.5" customHeight="1" x14ac:dyDescent="0.25">
      <c r="A2" s="253"/>
      <c r="B2" s="62" t="s">
        <v>498</v>
      </c>
      <c r="C2" s="254"/>
      <c r="D2" s="256"/>
      <c r="E2" s="601"/>
      <c r="F2" s="602"/>
      <c r="G2" s="602"/>
      <c r="H2" s="602"/>
      <c r="I2" s="602"/>
      <c r="J2" s="602"/>
      <c r="K2" s="602"/>
      <c r="L2" s="602"/>
      <c r="M2" s="602"/>
      <c r="N2" s="603"/>
      <c r="O2" s="256"/>
      <c r="P2" s="256"/>
      <c r="Q2" s="256"/>
      <c r="R2" s="256"/>
      <c r="S2" s="257"/>
      <c r="T2" s="257"/>
      <c r="U2" s="257"/>
      <c r="V2" s="257"/>
      <c r="W2" s="62"/>
      <c r="X2" s="72"/>
      <c r="Y2" s="72"/>
      <c r="Z2" s="72"/>
      <c r="AA2" s="72"/>
      <c r="AB2" s="72"/>
      <c r="AC2" s="72"/>
      <c r="AD2" s="72"/>
      <c r="AE2" s="72"/>
      <c r="AF2" s="72"/>
      <c r="AG2" s="72"/>
    </row>
    <row r="3" spans="1:33" ht="14.25" customHeight="1" x14ac:dyDescent="0.25">
      <c r="A3" s="253"/>
      <c r="B3" s="258" t="s">
        <v>497</v>
      </c>
      <c r="C3" s="256"/>
      <c r="D3" s="256"/>
      <c r="E3" s="256"/>
      <c r="F3" s="256"/>
      <c r="G3" s="256"/>
      <c r="H3" s="256"/>
      <c r="I3" s="256"/>
      <c r="J3" s="256"/>
      <c r="K3" s="259"/>
      <c r="L3" s="259"/>
      <c r="M3" s="259"/>
      <c r="N3" s="259"/>
      <c r="O3" s="259"/>
      <c r="P3" s="259"/>
      <c r="Q3" s="259"/>
      <c r="R3" s="259"/>
      <c r="S3" s="257" t="s">
        <v>381</v>
      </c>
      <c r="T3" s="615"/>
      <c r="U3" s="616"/>
      <c r="V3" s="616"/>
      <c r="W3" s="617"/>
      <c r="X3" s="72"/>
      <c r="Y3" s="72"/>
      <c r="Z3" s="72"/>
      <c r="AA3" s="224"/>
      <c r="AB3" s="260"/>
      <c r="AC3" s="260"/>
      <c r="AD3" s="260"/>
      <c r="AE3" s="260"/>
      <c r="AF3" s="72"/>
      <c r="AG3" s="72"/>
    </row>
    <row r="4" spans="1:33" ht="14.25" customHeight="1" x14ac:dyDescent="0.25">
      <c r="A4" s="621"/>
      <c r="B4" s="621"/>
      <c r="C4" s="621"/>
      <c r="D4" s="621"/>
      <c r="E4" s="621"/>
      <c r="F4" s="621"/>
      <c r="G4" s="621"/>
      <c r="H4" s="621"/>
      <c r="I4" s="621"/>
      <c r="J4" s="621"/>
      <c r="K4" s="621"/>
      <c r="L4" s="621"/>
      <c r="M4" s="621"/>
      <c r="N4" s="621"/>
      <c r="O4" s="621"/>
      <c r="P4" s="621"/>
      <c r="Q4" s="621"/>
      <c r="R4" s="621"/>
      <c r="S4" s="621"/>
      <c r="T4" s="621"/>
      <c r="U4" s="621"/>
      <c r="V4" s="621"/>
      <c r="W4" s="622"/>
      <c r="X4" s="72"/>
      <c r="Y4" s="72"/>
      <c r="Z4" s="72"/>
      <c r="AA4" s="224"/>
      <c r="AB4" s="260"/>
      <c r="AC4" s="260"/>
      <c r="AD4" s="260"/>
      <c r="AE4" s="260"/>
      <c r="AF4" s="72"/>
      <c r="AG4" s="72"/>
    </row>
    <row r="5" spans="1:33" x14ac:dyDescent="0.25">
      <c r="A5" s="623"/>
      <c r="B5" s="623"/>
      <c r="C5" s="623"/>
      <c r="D5" s="623"/>
      <c r="E5" s="623"/>
      <c r="F5" s="623"/>
      <c r="G5" s="623"/>
      <c r="H5" s="623"/>
      <c r="I5" s="623"/>
      <c r="J5" s="623"/>
      <c r="K5" s="623"/>
      <c r="L5" s="623"/>
      <c r="M5" s="623"/>
      <c r="N5" s="623"/>
      <c r="O5" s="623"/>
      <c r="P5" s="623"/>
      <c r="Q5" s="623"/>
      <c r="R5" s="623"/>
      <c r="S5" s="623"/>
      <c r="T5" s="623"/>
      <c r="U5" s="623"/>
      <c r="V5" s="623"/>
      <c r="W5" s="624"/>
      <c r="X5" s="683" t="s">
        <v>496</v>
      </c>
      <c r="Y5" s="684"/>
      <c r="Z5" s="72"/>
      <c r="AA5" s="260"/>
      <c r="AB5" s="260"/>
      <c r="AC5" s="260"/>
      <c r="AD5" s="260"/>
      <c r="AE5" s="260"/>
      <c r="AF5" s="72"/>
      <c r="AG5" s="72"/>
    </row>
    <row r="6" spans="1:33" x14ac:dyDescent="0.25">
      <c r="A6" s="623"/>
      <c r="B6" s="623"/>
      <c r="C6" s="623"/>
      <c r="D6" s="623"/>
      <c r="E6" s="623"/>
      <c r="F6" s="623"/>
      <c r="G6" s="623"/>
      <c r="H6" s="623"/>
      <c r="I6" s="623"/>
      <c r="J6" s="623"/>
      <c r="K6" s="623"/>
      <c r="L6" s="623"/>
      <c r="M6" s="623"/>
      <c r="N6" s="623"/>
      <c r="O6" s="623"/>
      <c r="P6" s="623"/>
      <c r="Q6" s="623"/>
      <c r="R6" s="623"/>
      <c r="S6" s="623"/>
      <c r="T6" s="623"/>
      <c r="U6" s="623"/>
      <c r="V6" s="623"/>
      <c r="W6" s="624"/>
      <c r="X6" s="261" t="s">
        <v>486</v>
      </c>
      <c r="Y6" s="262" t="str">
        <f>IFERROR(E36/K36,"")</f>
        <v/>
      </c>
      <c r="Z6" s="72"/>
      <c r="AA6" s="260"/>
      <c r="AB6" s="260"/>
      <c r="AC6" s="260"/>
      <c r="AD6" s="260"/>
      <c r="AE6" s="260"/>
      <c r="AF6" s="72"/>
      <c r="AG6" s="72"/>
    </row>
    <row r="7" spans="1:33" x14ac:dyDescent="0.25">
      <c r="A7" s="623"/>
      <c r="B7" s="623"/>
      <c r="C7" s="623"/>
      <c r="D7" s="623"/>
      <c r="E7" s="623"/>
      <c r="F7" s="623"/>
      <c r="G7" s="623"/>
      <c r="H7" s="623"/>
      <c r="I7" s="623"/>
      <c r="J7" s="623"/>
      <c r="K7" s="623"/>
      <c r="L7" s="623"/>
      <c r="M7" s="623"/>
      <c r="N7" s="623"/>
      <c r="O7" s="623"/>
      <c r="P7" s="623"/>
      <c r="Q7" s="623"/>
      <c r="R7" s="623"/>
      <c r="S7" s="623"/>
      <c r="T7" s="623"/>
      <c r="U7" s="623"/>
      <c r="V7" s="623"/>
      <c r="W7" s="624"/>
      <c r="X7" s="263" t="s">
        <v>391</v>
      </c>
      <c r="Y7" s="264" t="str">
        <f>F113</f>
        <v/>
      </c>
      <c r="Z7" s="72"/>
      <c r="AA7" s="260"/>
      <c r="AB7" s="260"/>
      <c r="AC7" s="260"/>
      <c r="AD7" s="260"/>
      <c r="AE7" s="260"/>
      <c r="AF7" s="72"/>
      <c r="AG7" s="72"/>
    </row>
    <row r="8" spans="1:33" x14ac:dyDescent="0.25">
      <c r="A8" s="623"/>
      <c r="B8" s="623"/>
      <c r="C8" s="623"/>
      <c r="D8" s="623"/>
      <c r="E8" s="623"/>
      <c r="F8" s="623"/>
      <c r="G8" s="623"/>
      <c r="H8" s="623"/>
      <c r="I8" s="623"/>
      <c r="J8" s="623"/>
      <c r="K8" s="623"/>
      <c r="L8" s="623"/>
      <c r="M8" s="623"/>
      <c r="N8" s="623"/>
      <c r="O8" s="623"/>
      <c r="P8" s="623"/>
      <c r="Q8" s="623"/>
      <c r="R8" s="623"/>
      <c r="S8" s="623"/>
      <c r="T8" s="623"/>
      <c r="U8" s="623"/>
      <c r="V8" s="623"/>
      <c r="W8" s="624"/>
      <c r="X8" s="261" t="s">
        <v>495</v>
      </c>
      <c r="Y8" s="265">
        <f>E24</f>
        <v>0</v>
      </c>
      <c r="Z8" s="72"/>
      <c r="AA8" s="260"/>
      <c r="AB8" s="260"/>
      <c r="AC8" s="260"/>
      <c r="AD8" s="260"/>
      <c r="AE8" s="260"/>
      <c r="AF8" s="72"/>
      <c r="AG8" s="72"/>
    </row>
    <row r="9" spans="1:33" ht="15" customHeight="1" x14ac:dyDescent="0.25">
      <c r="A9" s="623"/>
      <c r="B9" s="623"/>
      <c r="C9" s="623"/>
      <c r="D9" s="623"/>
      <c r="E9" s="623"/>
      <c r="F9" s="623"/>
      <c r="G9" s="623"/>
      <c r="H9" s="623"/>
      <c r="I9" s="623"/>
      <c r="J9" s="623"/>
      <c r="K9" s="623"/>
      <c r="L9" s="623"/>
      <c r="M9" s="623"/>
      <c r="N9" s="623"/>
      <c r="O9" s="623"/>
      <c r="P9" s="623"/>
      <c r="Q9" s="623"/>
      <c r="R9" s="623"/>
      <c r="S9" s="623"/>
      <c r="T9" s="623"/>
      <c r="U9" s="623"/>
      <c r="V9" s="623"/>
      <c r="W9" s="624"/>
      <c r="X9" s="263" t="s">
        <v>494</v>
      </c>
      <c r="Y9" s="264" t="str">
        <f>J113</f>
        <v>Incomplete</v>
      </c>
      <c r="Z9" s="72"/>
      <c r="AA9" s="260"/>
      <c r="AB9" s="260"/>
      <c r="AC9" s="260"/>
      <c r="AD9" s="260"/>
      <c r="AE9" s="260"/>
      <c r="AF9" s="72"/>
      <c r="AG9" s="72"/>
    </row>
    <row r="10" spans="1:33" ht="15" customHeight="1" x14ac:dyDescent="0.25">
      <c r="A10" s="625"/>
      <c r="B10" s="625"/>
      <c r="C10" s="625"/>
      <c r="D10" s="625"/>
      <c r="E10" s="625"/>
      <c r="F10" s="625"/>
      <c r="G10" s="625"/>
      <c r="H10" s="625"/>
      <c r="I10" s="625"/>
      <c r="J10" s="625"/>
      <c r="K10" s="625"/>
      <c r="L10" s="625"/>
      <c r="M10" s="625"/>
      <c r="N10" s="625"/>
      <c r="O10" s="625"/>
      <c r="P10" s="625"/>
      <c r="Q10" s="625"/>
      <c r="R10" s="625"/>
      <c r="S10" s="625"/>
      <c r="T10" s="625"/>
      <c r="U10" s="625"/>
      <c r="V10" s="625"/>
      <c r="W10" s="626"/>
      <c r="X10" s="263" t="s">
        <v>493</v>
      </c>
      <c r="Y10" s="245"/>
      <c r="Z10" s="72"/>
      <c r="AA10" s="260"/>
      <c r="AB10" s="260"/>
      <c r="AC10" s="260"/>
      <c r="AD10" s="260"/>
      <c r="AE10" s="260"/>
      <c r="AF10" s="72"/>
      <c r="AG10" s="72"/>
    </row>
    <row r="11" spans="1:33" ht="15" customHeight="1" x14ac:dyDescent="0.25">
      <c r="A11" s="627" t="s">
        <v>492</v>
      </c>
      <c r="B11" s="80"/>
      <c r="C11" s="80"/>
      <c r="D11" s="266" t="s">
        <v>491</v>
      </c>
      <c r="E11" s="640">
        <f>E36</f>
        <v>0</v>
      </c>
      <c r="F11" s="640"/>
      <c r="G11" s="80"/>
      <c r="H11" s="80"/>
      <c r="I11" s="80"/>
      <c r="J11" s="80"/>
      <c r="K11" s="80"/>
      <c r="L11" s="80"/>
      <c r="M11" s="80"/>
      <c r="N11" s="80"/>
      <c r="O11" s="80"/>
      <c r="P11" s="80"/>
      <c r="Q11" s="80"/>
      <c r="R11" s="80"/>
      <c r="S11" s="80"/>
      <c r="T11" s="80"/>
      <c r="U11" s="80"/>
      <c r="V11" s="80"/>
      <c r="W11" s="267"/>
      <c r="X11" s="268"/>
      <c r="Z11" s="72"/>
      <c r="AA11" s="260"/>
      <c r="AB11" s="260"/>
      <c r="AC11" s="260"/>
      <c r="AD11" s="260"/>
      <c r="AE11" s="260"/>
      <c r="AF11" s="72"/>
      <c r="AG11" s="72"/>
    </row>
    <row r="12" spans="1:33" ht="15" customHeight="1" x14ac:dyDescent="0.25">
      <c r="A12" s="628"/>
      <c r="B12" s="80"/>
      <c r="C12" s="80"/>
      <c r="D12" s="266" t="s">
        <v>490</v>
      </c>
      <c r="E12" s="645"/>
      <c r="F12" s="645"/>
      <c r="G12" s="80"/>
      <c r="H12" s="80"/>
      <c r="I12" s="80"/>
      <c r="J12" s="80"/>
      <c r="K12" s="80"/>
      <c r="L12" s="80"/>
      <c r="M12" s="80"/>
      <c r="N12" s="80"/>
      <c r="O12" s="80"/>
      <c r="P12" s="80"/>
      <c r="Q12" s="80"/>
      <c r="R12" s="80"/>
      <c r="S12" s="80"/>
      <c r="T12" s="80"/>
      <c r="U12" s="80"/>
      <c r="V12" s="80"/>
      <c r="W12" s="267"/>
      <c r="X12" s="268"/>
      <c r="Z12" s="72"/>
      <c r="AA12" s="260"/>
      <c r="AB12" s="260"/>
      <c r="AC12" s="260"/>
      <c r="AD12" s="260"/>
      <c r="AE12" s="260"/>
      <c r="AF12" s="72"/>
      <c r="AG12" s="72"/>
    </row>
    <row r="13" spans="1:33" ht="15" customHeight="1" x14ac:dyDescent="0.25">
      <c r="A13" s="628"/>
      <c r="B13" s="80"/>
      <c r="C13" s="80"/>
      <c r="D13" s="266" t="s">
        <v>489</v>
      </c>
      <c r="E13" s="645"/>
      <c r="F13" s="645"/>
      <c r="G13" s="80"/>
      <c r="H13" s="80"/>
      <c r="I13" s="80"/>
      <c r="J13" s="80"/>
      <c r="K13" s="80"/>
      <c r="L13" s="80"/>
      <c r="M13" s="80"/>
      <c r="N13" s="80"/>
      <c r="O13" s="80"/>
      <c r="P13" s="80"/>
      <c r="Q13" s="80"/>
      <c r="R13" s="80"/>
      <c r="S13" s="80"/>
      <c r="T13" s="80"/>
      <c r="U13" s="80"/>
      <c r="V13" s="80"/>
      <c r="W13" s="267"/>
      <c r="X13" s="268"/>
      <c r="Z13" s="72"/>
      <c r="AA13" s="260"/>
      <c r="AB13" s="260"/>
      <c r="AC13" s="260"/>
      <c r="AD13" s="260"/>
      <c r="AE13" s="260"/>
      <c r="AF13" s="72"/>
      <c r="AG13" s="72"/>
    </row>
    <row r="14" spans="1:33" ht="15" customHeight="1" x14ac:dyDescent="0.25">
      <c r="A14" s="628"/>
      <c r="B14" s="80"/>
      <c r="C14" s="80"/>
      <c r="D14" s="266" t="s">
        <v>488</v>
      </c>
      <c r="E14" s="645"/>
      <c r="F14" s="645"/>
      <c r="G14" s="80"/>
      <c r="H14" s="80"/>
      <c r="I14" s="80"/>
      <c r="J14" s="80"/>
      <c r="K14" s="80"/>
      <c r="L14" s="80"/>
      <c r="M14" s="80"/>
      <c r="N14" s="80"/>
      <c r="O14" s="80"/>
      <c r="P14" s="80"/>
      <c r="Q14" s="80"/>
      <c r="R14" s="80"/>
      <c r="S14" s="80"/>
      <c r="T14" s="80"/>
      <c r="U14" s="80"/>
      <c r="V14" s="80"/>
      <c r="W14" s="267"/>
      <c r="X14" s="268"/>
      <c r="Z14" s="72"/>
      <c r="AA14" s="260"/>
      <c r="AB14" s="260"/>
      <c r="AC14" s="260"/>
      <c r="AD14" s="260"/>
      <c r="AE14" s="260"/>
      <c r="AF14" s="72"/>
      <c r="AG14" s="72"/>
    </row>
    <row r="15" spans="1:33" ht="15" customHeight="1" x14ac:dyDescent="0.25">
      <c r="A15" s="628"/>
      <c r="B15" s="80"/>
      <c r="C15" s="80"/>
      <c r="D15" s="266" t="s">
        <v>487</v>
      </c>
      <c r="E15" s="646" t="str">
        <f>IFERROR(E11/(E12+E13),"")</f>
        <v/>
      </c>
      <c r="F15" s="646"/>
      <c r="G15" s="80"/>
      <c r="H15" s="80"/>
      <c r="I15" s="80"/>
      <c r="J15" s="80"/>
      <c r="K15" s="80"/>
      <c r="L15" s="80"/>
      <c r="M15" s="80"/>
      <c r="N15" s="80"/>
      <c r="O15" s="80"/>
      <c r="P15" s="80"/>
      <c r="Q15" s="80"/>
      <c r="R15" s="80"/>
      <c r="S15" s="80"/>
      <c r="T15" s="80"/>
      <c r="U15" s="80"/>
      <c r="V15" s="80"/>
      <c r="W15" s="267"/>
      <c r="X15" s="268"/>
      <c r="Z15" s="72"/>
      <c r="AA15" s="260"/>
      <c r="AB15" s="260"/>
      <c r="AC15" s="260"/>
      <c r="AD15" s="260"/>
      <c r="AE15" s="260"/>
      <c r="AF15" s="72"/>
      <c r="AG15" s="72"/>
    </row>
    <row r="16" spans="1:33" ht="15" customHeight="1" x14ac:dyDescent="0.25">
      <c r="A16" s="628"/>
      <c r="B16" s="80"/>
      <c r="C16" s="80"/>
      <c r="D16" s="266" t="s">
        <v>486</v>
      </c>
      <c r="E16" s="646" t="str">
        <f>Y6</f>
        <v/>
      </c>
      <c r="F16" s="646"/>
      <c r="G16" s="80"/>
      <c r="H16" s="80"/>
      <c r="I16" s="80"/>
      <c r="J16" s="80"/>
      <c r="K16" s="80"/>
      <c r="L16" s="80"/>
      <c r="M16" s="80"/>
      <c r="N16" s="80"/>
      <c r="O16" s="80"/>
      <c r="P16" s="80"/>
      <c r="Q16" s="80"/>
      <c r="R16" s="80"/>
      <c r="S16" s="80"/>
      <c r="T16" s="80"/>
      <c r="U16" s="80"/>
      <c r="V16" s="80"/>
      <c r="W16" s="267"/>
      <c r="X16" s="268"/>
      <c r="Z16" s="72"/>
      <c r="AA16" s="260"/>
      <c r="AB16" s="260"/>
      <c r="AC16" s="260"/>
      <c r="AD16" s="260"/>
      <c r="AE16" s="260"/>
      <c r="AF16" s="72"/>
      <c r="AG16" s="72"/>
    </row>
    <row r="17" spans="1:33" ht="15" customHeight="1" x14ac:dyDescent="0.25">
      <c r="A17" s="635"/>
      <c r="B17" s="270"/>
      <c r="C17" s="270"/>
      <c r="D17" s="266" t="s">
        <v>485</v>
      </c>
      <c r="E17" s="623"/>
      <c r="F17" s="623"/>
      <c r="G17" s="80"/>
      <c r="H17" s="80"/>
      <c r="I17" s="80"/>
      <c r="J17" s="80"/>
      <c r="K17" s="80"/>
      <c r="L17" s="80"/>
      <c r="M17" s="80"/>
      <c r="N17" s="80"/>
      <c r="O17" s="80"/>
      <c r="P17" s="80"/>
      <c r="Q17" s="80"/>
      <c r="R17" s="80"/>
      <c r="S17" s="80"/>
      <c r="T17" s="80"/>
      <c r="U17" s="80"/>
      <c r="V17" s="80"/>
      <c r="W17" s="267"/>
      <c r="X17" s="268"/>
      <c r="Z17" s="72"/>
      <c r="AA17" s="260"/>
      <c r="AB17" s="260"/>
      <c r="AC17" s="260"/>
      <c r="AD17" s="260"/>
      <c r="AE17" s="260"/>
      <c r="AF17" s="72"/>
      <c r="AG17" s="72"/>
    </row>
    <row r="18" spans="1:33" ht="36.75" customHeight="1" x14ac:dyDescent="0.25">
      <c r="A18" s="641" t="s">
        <v>484</v>
      </c>
      <c r="B18" s="641"/>
      <c r="C18" s="641"/>
      <c r="D18" s="641"/>
      <c r="E18" s="642"/>
      <c r="F18" s="642"/>
      <c r="G18" s="642"/>
      <c r="H18" s="642"/>
      <c r="I18" s="643" t="s">
        <v>415</v>
      </c>
      <c r="J18" s="643"/>
      <c r="K18" s="642"/>
      <c r="L18" s="642"/>
      <c r="M18" s="642"/>
      <c r="N18" s="642"/>
      <c r="O18" s="642"/>
      <c r="P18" s="642"/>
      <c r="Q18" s="642"/>
      <c r="R18" s="642"/>
      <c r="S18" s="642"/>
      <c r="T18" s="642"/>
      <c r="U18" s="642"/>
      <c r="V18" s="642"/>
      <c r="W18" s="644"/>
      <c r="Z18" s="72"/>
      <c r="AA18" s="260"/>
      <c r="AB18" s="260"/>
      <c r="AC18" s="260"/>
      <c r="AD18" s="260"/>
      <c r="AE18" s="260"/>
      <c r="AF18" s="72"/>
      <c r="AG18" s="72"/>
    </row>
    <row r="19" spans="1:33" x14ac:dyDescent="0.25">
      <c r="A19" s="628" t="s">
        <v>483</v>
      </c>
      <c r="B19" s="271"/>
      <c r="C19" s="256"/>
      <c r="D19" s="257" t="s">
        <v>482</v>
      </c>
      <c r="E19" s="647"/>
      <c r="F19" s="608"/>
      <c r="G19" s="608"/>
      <c r="H19" s="608"/>
      <c r="I19" s="608"/>
      <c r="J19" s="608"/>
      <c r="K19" s="608"/>
      <c r="L19" s="608"/>
      <c r="M19" s="694"/>
      <c r="N19" s="695"/>
      <c r="O19" s="711"/>
      <c r="P19" s="712"/>
      <c r="Q19" s="712"/>
      <c r="R19" s="712"/>
      <c r="S19" s="712"/>
      <c r="T19" s="712"/>
      <c r="U19" s="712"/>
      <c r="V19" s="712"/>
      <c r="W19" s="713"/>
      <c r="Z19" s="72"/>
      <c r="AA19" s="72"/>
      <c r="AB19" s="72"/>
      <c r="AC19" s="72"/>
      <c r="AD19" s="72"/>
      <c r="AE19" s="72"/>
      <c r="AF19" s="72"/>
      <c r="AG19" s="72"/>
    </row>
    <row r="20" spans="1:33" x14ac:dyDescent="0.25">
      <c r="A20" s="628"/>
      <c r="B20" s="256"/>
      <c r="C20" s="256"/>
      <c r="D20" s="273" t="s">
        <v>481</v>
      </c>
      <c r="E20" s="618"/>
      <c r="F20" s="619"/>
      <c r="G20" s="619"/>
      <c r="H20" s="619"/>
      <c r="I20" s="619"/>
      <c r="J20" s="619"/>
      <c r="K20" s="619"/>
      <c r="L20" s="52"/>
      <c r="N20" s="257" t="s">
        <v>480</v>
      </c>
      <c r="O20" s="638"/>
      <c r="P20" s="638"/>
      <c r="Q20" s="638"/>
      <c r="R20" s="638"/>
      <c r="S20" s="638"/>
      <c r="T20" s="638"/>
      <c r="U20" s="638"/>
      <c r="V20" s="638"/>
      <c r="W20" s="639"/>
      <c r="X20" s="72"/>
      <c r="Y20" s="72"/>
      <c r="Z20" s="72"/>
      <c r="AA20" s="72"/>
      <c r="AB20" s="72"/>
      <c r="AC20" s="72"/>
      <c r="AD20" s="72"/>
      <c r="AE20" s="72"/>
      <c r="AF20" s="72"/>
      <c r="AG20" s="72"/>
    </row>
    <row r="21" spans="1:33" ht="5.25" customHeight="1" x14ac:dyDescent="0.25">
      <c r="A21" s="635"/>
      <c r="B21" s="274"/>
      <c r="C21" s="275"/>
      <c r="D21" s="276"/>
      <c r="E21" s="276"/>
      <c r="F21" s="276"/>
      <c r="G21" s="276"/>
      <c r="H21" s="276"/>
      <c r="I21" s="276"/>
      <c r="J21" s="276"/>
      <c r="K21" s="276"/>
      <c r="L21" s="277"/>
      <c r="M21" s="275"/>
      <c r="N21" s="278"/>
      <c r="O21" s="276"/>
      <c r="P21" s="276"/>
      <c r="Q21" s="276"/>
      <c r="R21" s="276"/>
      <c r="S21" s="276"/>
      <c r="T21" s="276"/>
      <c r="U21" s="276"/>
      <c r="V21" s="276"/>
      <c r="W21" s="279"/>
      <c r="X21" s="75"/>
      <c r="Y21" s="280"/>
      <c r="Z21" s="72"/>
      <c r="AA21" s="72"/>
      <c r="AB21" s="72"/>
      <c r="AC21" s="72"/>
      <c r="AD21" s="72"/>
      <c r="AE21" s="72"/>
      <c r="AF21" s="72"/>
      <c r="AG21" s="72"/>
    </row>
    <row r="22" spans="1:33" ht="15" customHeight="1" x14ac:dyDescent="0.25">
      <c r="A22" s="628" t="s">
        <v>479</v>
      </c>
      <c r="B22" s="271"/>
      <c r="C22" s="256"/>
      <c r="D22" s="257" t="s">
        <v>478</v>
      </c>
      <c r="E22" s="607"/>
      <c r="F22" s="608"/>
      <c r="G22" s="608"/>
      <c r="H22" s="608"/>
      <c r="I22" s="608"/>
      <c r="J22" s="608"/>
      <c r="K22" s="608"/>
      <c r="L22" s="608"/>
      <c r="M22" s="257" t="s">
        <v>477</v>
      </c>
      <c r="N22" s="620"/>
      <c r="O22" s="620"/>
      <c r="P22" s="620"/>
      <c r="Q22" s="257" t="s">
        <v>476</v>
      </c>
      <c r="R22" s="207"/>
      <c r="S22" s="76" t="s">
        <v>468</v>
      </c>
      <c r="U22" s="52" t="s">
        <v>475</v>
      </c>
      <c r="V22" s="208"/>
      <c r="W22" s="281"/>
      <c r="X22" s="72"/>
      <c r="Y22" s="72"/>
      <c r="Z22" s="72"/>
      <c r="AA22" s="72"/>
      <c r="AB22" s="72"/>
      <c r="AC22" s="72"/>
      <c r="AD22" s="72"/>
      <c r="AE22" s="72"/>
      <c r="AF22" s="72"/>
      <c r="AG22" s="72"/>
    </row>
    <row r="23" spans="1:33" x14ac:dyDescent="0.25">
      <c r="A23" s="628"/>
      <c r="B23" s="282"/>
      <c r="C23" s="62"/>
      <c r="D23" s="257" t="s">
        <v>474</v>
      </c>
      <c r="E23" s="613"/>
      <c r="F23" s="613"/>
      <c r="G23" s="613"/>
      <c r="H23" s="613"/>
      <c r="I23" s="613"/>
      <c r="J23" s="613"/>
      <c r="K23" s="613"/>
      <c r="L23" s="613"/>
      <c r="M23" s="613"/>
      <c r="N23" s="613"/>
      <c r="O23" s="613"/>
      <c r="P23" s="613"/>
      <c r="Q23" s="613"/>
      <c r="R23" s="613"/>
      <c r="S23" s="613"/>
      <c r="T23" s="613"/>
      <c r="U23" s="613"/>
      <c r="V23" s="613"/>
      <c r="W23" s="696"/>
      <c r="X23" s="72"/>
      <c r="Y23" s="72"/>
      <c r="Z23" s="72"/>
      <c r="AA23" s="72"/>
      <c r="AB23" s="72"/>
      <c r="AC23" s="72"/>
      <c r="AD23" s="72"/>
      <c r="AE23" s="72"/>
      <c r="AF23" s="72"/>
      <c r="AG23" s="72"/>
    </row>
    <row r="24" spans="1:33" x14ac:dyDescent="0.25">
      <c r="A24" s="628"/>
      <c r="B24" s="283"/>
      <c r="C24" s="52"/>
      <c r="D24" s="266" t="s">
        <v>473</v>
      </c>
      <c r="E24" s="208"/>
      <c r="F24" s="256"/>
      <c r="G24" s="256"/>
      <c r="H24" s="257" t="s">
        <v>410</v>
      </c>
      <c r="I24" s="632"/>
      <c r="J24" s="636"/>
      <c r="K24" s="636"/>
      <c r="L24" s="636"/>
      <c r="M24" s="636"/>
      <c r="N24" s="636"/>
      <c r="O24" s="636"/>
      <c r="P24" s="636"/>
      <c r="Q24" s="636"/>
      <c r="R24" s="636"/>
      <c r="S24" s="636"/>
      <c r="T24" s="636"/>
      <c r="U24" s="636"/>
      <c r="V24" s="636"/>
      <c r="W24" s="637"/>
      <c r="Z24" s="284"/>
      <c r="AA24" s="72"/>
      <c r="AB24" s="72"/>
      <c r="AC24" s="72"/>
      <c r="AD24" s="72"/>
      <c r="AE24" s="72"/>
      <c r="AF24" s="72"/>
      <c r="AG24" s="72"/>
    </row>
    <row r="25" spans="1:33" ht="5.25" customHeight="1" x14ac:dyDescent="0.25">
      <c r="A25" s="628"/>
      <c r="B25" s="282"/>
      <c r="C25" s="62"/>
      <c r="D25" s="257"/>
      <c r="E25" s="256"/>
      <c r="F25" s="256"/>
      <c r="G25" s="256"/>
      <c r="H25" s="257"/>
      <c r="I25" s="256"/>
      <c r="J25" s="256"/>
      <c r="K25" s="256"/>
      <c r="L25" s="256"/>
      <c r="M25" s="256"/>
      <c r="N25" s="256"/>
      <c r="O25" s="256"/>
      <c r="P25" s="256"/>
      <c r="Q25" s="256"/>
      <c r="R25" s="256"/>
      <c r="S25" s="256"/>
      <c r="T25" s="256"/>
      <c r="U25" s="256"/>
      <c r="V25" s="256"/>
      <c r="W25" s="281"/>
      <c r="X25" s="72"/>
      <c r="Y25" s="72"/>
      <c r="Z25" s="72"/>
      <c r="AA25" s="72"/>
      <c r="AB25" s="72"/>
      <c r="AC25" s="72"/>
      <c r="AD25" s="72"/>
      <c r="AE25" s="72"/>
      <c r="AF25" s="72"/>
      <c r="AG25" s="72"/>
    </row>
    <row r="26" spans="1:33" ht="17.25" customHeight="1" x14ac:dyDescent="0.25">
      <c r="A26" s="627" t="s">
        <v>472</v>
      </c>
      <c r="B26" s="285"/>
      <c r="C26" s="285"/>
      <c r="D26" s="286" t="s">
        <v>471</v>
      </c>
      <c r="E26" s="77"/>
      <c r="F26" s="285"/>
      <c r="G26" s="287" t="s">
        <v>470</v>
      </c>
      <c r="H26" s="77"/>
      <c r="I26" s="287" t="s">
        <v>469</v>
      </c>
      <c r="J26" s="77"/>
      <c r="K26" s="288" t="s">
        <v>468</v>
      </c>
      <c r="L26" s="289" t="s">
        <v>467</v>
      </c>
      <c r="M26" s="272"/>
      <c r="N26" s="285"/>
      <c r="O26" s="285"/>
      <c r="P26" s="285"/>
      <c r="Q26" s="79"/>
      <c r="R26" s="290" t="s">
        <v>466</v>
      </c>
      <c r="S26" s="272"/>
      <c r="T26" s="272"/>
      <c r="U26" s="272"/>
      <c r="V26" s="734"/>
      <c r="W26" s="735"/>
      <c r="X26" s="72"/>
      <c r="Y26" s="72"/>
      <c r="Z26" s="72"/>
      <c r="AA26" s="72"/>
      <c r="AB26" s="72"/>
      <c r="AC26" s="72"/>
      <c r="AD26" s="72"/>
      <c r="AE26" s="72"/>
      <c r="AF26" s="72"/>
      <c r="AG26" s="72"/>
    </row>
    <row r="27" spans="1:33" ht="16.5" customHeight="1" x14ac:dyDescent="0.25">
      <c r="A27" s="628"/>
      <c r="B27" s="291"/>
      <c r="C27" s="256"/>
      <c r="D27" s="257" t="s">
        <v>465</v>
      </c>
      <c r="E27" s="725"/>
      <c r="F27" s="725"/>
      <c r="G27" s="725"/>
      <c r="H27" s="725"/>
      <c r="I27" s="725"/>
      <c r="J27" s="725"/>
      <c r="K27" s="725"/>
      <c r="L27" s="725"/>
      <c r="M27" s="725"/>
      <c r="N27" s="725"/>
      <c r="O27" s="725"/>
      <c r="P27" s="725"/>
      <c r="Q27" s="725"/>
      <c r="R27" s="725"/>
      <c r="S27" s="725"/>
      <c r="T27" s="725"/>
      <c r="U27" s="725"/>
      <c r="V27" s="725"/>
      <c r="W27" s="726"/>
      <c r="X27" s="72"/>
      <c r="Y27" s="72"/>
      <c r="AA27" s="72"/>
      <c r="AB27" s="72"/>
      <c r="AC27" s="72"/>
      <c r="AD27" s="72"/>
      <c r="AE27" s="72"/>
      <c r="AF27" s="72"/>
      <c r="AG27" s="72"/>
    </row>
    <row r="28" spans="1:33" x14ac:dyDescent="0.25">
      <c r="A28" s="628"/>
      <c r="B28" s="282"/>
      <c r="C28" s="256"/>
      <c r="D28" s="257" t="s">
        <v>464</v>
      </c>
      <c r="E28" s="208"/>
      <c r="F28" s="62"/>
      <c r="G28" s="257" t="s">
        <v>415</v>
      </c>
      <c r="H28" s="632"/>
      <c r="I28" s="632"/>
      <c r="J28" s="632"/>
      <c r="K28" s="632"/>
      <c r="L28" s="632"/>
      <c r="M28" s="632"/>
      <c r="N28" s="632"/>
      <c r="O28" s="632"/>
      <c r="P28" s="632"/>
      <c r="Q28" s="632"/>
      <c r="R28" s="632"/>
      <c r="S28" s="632"/>
      <c r="T28" s="632"/>
      <c r="U28" s="632"/>
      <c r="V28" s="632"/>
      <c r="W28" s="292"/>
      <c r="X28" s="72"/>
      <c r="Y28" s="72"/>
      <c r="Z28" s="72"/>
      <c r="AA28" s="72"/>
      <c r="AB28" s="72"/>
      <c r="AC28" s="72"/>
      <c r="AD28" s="72"/>
      <c r="AE28" s="72"/>
      <c r="AF28" s="72"/>
      <c r="AG28" s="72"/>
    </row>
    <row r="29" spans="1:33" ht="5.25" customHeight="1" x14ac:dyDescent="0.25">
      <c r="A29" s="256"/>
      <c r="B29" s="256"/>
      <c r="C29" s="256"/>
      <c r="D29" s="256"/>
      <c r="E29" s="256"/>
      <c r="F29" s="256"/>
      <c r="G29" s="256"/>
      <c r="H29" s="256"/>
      <c r="I29" s="256"/>
      <c r="J29" s="256"/>
      <c r="K29" s="256"/>
      <c r="L29" s="256"/>
      <c r="M29" s="256"/>
      <c r="N29" s="256"/>
      <c r="O29" s="256"/>
      <c r="P29" s="256"/>
      <c r="Q29" s="256"/>
      <c r="R29" s="256"/>
      <c r="S29" s="256"/>
      <c r="T29" s="256"/>
      <c r="U29" s="256"/>
      <c r="V29" s="256"/>
      <c r="W29" s="281"/>
      <c r="X29" s="72"/>
      <c r="Y29" s="72"/>
      <c r="Z29" s="72"/>
      <c r="AA29" s="72"/>
      <c r="AB29" s="72"/>
      <c r="AC29" s="72"/>
      <c r="AD29" s="72"/>
      <c r="AE29" s="72"/>
      <c r="AF29" s="72"/>
      <c r="AG29" s="72"/>
    </row>
    <row r="30" spans="1:33" x14ac:dyDescent="0.25">
      <c r="A30" s="627" t="s">
        <v>463</v>
      </c>
      <c r="B30" s="285"/>
      <c r="C30" s="285"/>
      <c r="D30" s="287" t="s">
        <v>462</v>
      </c>
      <c r="E30" s="733"/>
      <c r="F30" s="733"/>
      <c r="G30" s="733"/>
      <c r="H30" s="285"/>
      <c r="I30" s="285"/>
      <c r="J30" s="285"/>
      <c r="K30" s="285"/>
      <c r="L30" s="285"/>
      <c r="M30" s="285"/>
      <c r="N30" s="285"/>
      <c r="O30" s="285"/>
      <c r="P30" s="285"/>
      <c r="Q30" s="285"/>
      <c r="R30" s="285"/>
      <c r="S30" s="285"/>
      <c r="T30" s="285"/>
      <c r="U30" s="285"/>
      <c r="V30" s="285"/>
      <c r="W30" s="293"/>
      <c r="X30" s="72"/>
      <c r="Y30" s="219" t="s">
        <v>461</v>
      </c>
      <c r="Z30" s="72">
        <f>IF(ISBLANK(E$32),E$33,VLOOKUP(LEFT(E$32,2),Postcodes!$A:$B,2,FALSE))</f>
        <v>0</v>
      </c>
      <c r="AA30" s="280">
        <f>IFERROR((HLOOKUP($Z30,Data!$D$3:$N$16,14,FALSE)*VLOOKUP(E$34,Data!$C$46:$D$54,2,FALSE))+VLOOKUP($Z30,'Council tax'!$B$16:$F$27,5,FALSE),0)</f>
        <v>0</v>
      </c>
      <c r="AB30" s="72"/>
      <c r="AC30" s="72"/>
      <c r="AD30" s="72"/>
      <c r="AE30" s="72"/>
      <c r="AF30" s="72"/>
      <c r="AG30" s="72"/>
    </row>
    <row r="31" spans="1:33" x14ac:dyDescent="0.25">
      <c r="A31" s="628"/>
      <c r="B31" s="256"/>
      <c r="C31" s="256"/>
      <c r="D31" s="257"/>
      <c r="E31" s="727" t="s">
        <v>460</v>
      </c>
      <c r="F31" s="727"/>
      <c r="G31" s="727"/>
      <c r="H31" s="256"/>
      <c r="I31" s="727" t="s">
        <v>459</v>
      </c>
      <c r="J31" s="727"/>
      <c r="K31" s="727"/>
      <c r="L31" s="62"/>
      <c r="M31" s="727" t="s">
        <v>458</v>
      </c>
      <c r="N31" s="727"/>
      <c r="O31" s="727"/>
      <c r="P31" s="62"/>
      <c r="Q31" s="727" t="s">
        <v>457</v>
      </c>
      <c r="R31" s="727"/>
      <c r="S31" s="727"/>
      <c r="T31" s="256"/>
      <c r="U31" s="256"/>
      <c r="V31" s="256"/>
      <c r="W31" s="281"/>
      <c r="X31" s="72"/>
      <c r="Y31" s="219" t="s">
        <v>456</v>
      </c>
      <c r="Z31" s="72">
        <f>IF(ISBLANK(I$32),I$33,VLOOKUP(LEFT(I$32,2),Postcodes!$A:$B,2,FALSE))</f>
        <v>0</v>
      </c>
      <c r="AA31" s="280">
        <f>IFERROR((HLOOKUP($Z31,Data!$D$3:$N$16,14,FALSE)*VLOOKUP(I$34,Data!$C$46:$D$54,2,FALSE))+VLOOKUP($Z31,'Council tax'!$B$16:$F$27,5,FALSE),0)</f>
        <v>0</v>
      </c>
      <c r="AB31" s="72"/>
      <c r="AC31" s="72"/>
      <c r="AD31" s="72"/>
      <c r="AE31" s="72"/>
      <c r="AF31" s="72"/>
      <c r="AG31" s="72"/>
    </row>
    <row r="32" spans="1:33" x14ac:dyDescent="0.25">
      <c r="A32" s="628"/>
      <c r="B32" s="256"/>
      <c r="C32" s="256"/>
      <c r="D32" s="257" t="s">
        <v>455</v>
      </c>
      <c r="E32" s="613"/>
      <c r="F32" s="613"/>
      <c r="G32" s="613"/>
      <c r="H32" s="256"/>
      <c r="I32" s="613"/>
      <c r="J32" s="613"/>
      <c r="K32" s="613"/>
      <c r="L32" s="256"/>
      <c r="M32" s="613"/>
      <c r="N32" s="613"/>
      <c r="O32" s="613"/>
      <c r="P32" s="256"/>
      <c r="Q32" s="613"/>
      <c r="R32" s="613"/>
      <c r="S32" s="613"/>
      <c r="T32" s="256"/>
      <c r="U32" s="256"/>
      <c r="V32" s="256"/>
      <c r="W32" s="281"/>
      <c r="X32" s="72"/>
      <c r="Y32" s="219" t="s">
        <v>454</v>
      </c>
      <c r="Z32" s="72">
        <f>IF(ISBLANK(M$32),M$33,VLOOKUP(LEFT(M$32,2),Postcodes!$A:$B,2,FALSE))</f>
        <v>0</v>
      </c>
      <c r="AA32" s="280">
        <f>IFERROR((HLOOKUP($Z32,Data!$D$3:$N$16,14,FALSE)*VLOOKUP(M$34,Data!$C$46:$D$54,2,FALSE))+VLOOKUP($Z32,'Council tax'!$B$16:$F$27,5,FALSE),0)</f>
        <v>0</v>
      </c>
      <c r="AB32" s="72"/>
      <c r="AC32" s="72"/>
      <c r="AD32" s="72"/>
      <c r="AE32" s="72"/>
      <c r="AF32" s="72"/>
      <c r="AG32" s="72"/>
    </row>
    <row r="33" spans="1:35" x14ac:dyDescent="0.25">
      <c r="A33" s="628"/>
      <c r="B33" s="256"/>
      <c r="D33" s="257" t="s">
        <v>453</v>
      </c>
      <c r="E33" s="631"/>
      <c r="F33" s="631"/>
      <c r="G33" s="631"/>
      <c r="I33" s="631"/>
      <c r="J33" s="631"/>
      <c r="K33" s="631"/>
      <c r="M33" s="631"/>
      <c r="N33" s="631"/>
      <c r="O33" s="631"/>
      <c r="P33" s="256"/>
      <c r="Q33" s="631"/>
      <c r="R33" s="631"/>
      <c r="S33" s="631"/>
      <c r="T33" s="256"/>
      <c r="U33" s="256"/>
      <c r="V33" s="256"/>
      <c r="W33" s="281"/>
      <c r="X33" s="72"/>
      <c r="Y33" s="219" t="s">
        <v>452</v>
      </c>
      <c r="Z33" s="72">
        <f>IF(ISBLANK(Q$32),Q$33,VLOOKUP(LEFT(Q$32,2),Postcodes!$A:$B,2,FALSE))</f>
        <v>0</v>
      </c>
      <c r="AA33" s="280">
        <f>IFERROR((HLOOKUP($Z33,Data!$D$3:$N$16,14,FALSE)*VLOOKUP(Q$34,Data!$C$46:$D$54,2,FALSE))+VLOOKUP($Z33,'Council tax'!$B$16:$F$27,5,FALSE),0)</f>
        <v>0</v>
      </c>
      <c r="AB33" s="72"/>
      <c r="AC33" s="72"/>
      <c r="AD33" s="72"/>
      <c r="AE33" s="72"/>
      <c r="AF33" s="72"/>
      <c r="AG33" s="72"/>
    </row>
    <row r="34" spans="1:35" ht="23.25" customHeight="1" x14ac:dyDescent="0.25">
      <c r="A34" s="628"/>
      <c r="B34" s="256"/>
      <c r="D34" s="273" t="s">
        <v>451</v>
      </c>
      <c r="E34" s="634"/>
      <c r="F34" s="634"/>
      <c r="G34" s="634"/>
      <c r="H34" s="294"/>
      <c r="I34" s="634"/>
      <c r="J34" s="634"/>
      <c r="K34" s="634"/>
      <c r="M34" s="634"/>
      <c r="N34" s="634"/>
      <c r="O34" s="634"/>
      <c r="P34" s="256"/>
      <c r="Q34" s="634"/>
      <c r="R34" s="634"/>
      <c r="S34" s="634"/>
      <c r="T34" s="256"/>
      <c r="U34" s="256"/>
      <c r="V34" s="256"/>
      <c r="W34" s="281"/>
      <c r="X34" s="72"/>
      <c r="Y34" s="255"/>
      <c r="Z34" s="72" t="s">
        <v>450</v>
      </c>
      <c r="AA34" s="280">
        <f>SUM(AA30:AA33)</f>
        <v>0</v>
      </c>
      <c r="AB34" s="72"/>
      <c r="AC34" s="72"/>
      <c r="AD34" s="72"/>
      <c r="AE34" s="72"/>
      <c r="AF34" s="72"/>
      <c r="AG34" s="72"/>
    </row>
    <row r="35" spans="1:35" ht="6.75" customHeight="1" x14ac:dyDescent="0.25">
      <c r="A35" s="256"/>
      <c r="B35" s="256"/>
      <c r="C35" s="256"/>
      <c r="D35" s="256"/>
      <c r="E35" s="256"/>
      <c r="F35" s="256"/>
      <c r="G35" s="256"/>
      <c r="N35" s="256"/>
      <c r="O35" s="256"/>
      <c r="P35" s="256"/>
      <c r="Q35" s="256"/>
      <c r="R35" s="256"/>
      <c r="S35" s="256"/>
      <c r="T35" s="256"/>
      <c r="U35" s="256"/>
      <c r="V35" s="256"/>
      <c r="W35" s="281"/>
      <c r="X35" s="72"/>
      <c r="Y35" s="255"/>
      <c r="Z35" s="72"/>
      <c r="AA35" s="72"/>
      <c r="AB35" s="72"/>
      <c r="AC35" s="72"/>
      <c r="AD35" s="72"/>
      <c r="AE35" s="72"/>
      <c r="AF35" s="72"/>
      <c r="AG35" s="72"/>
    </row>
    <row r="36" spans="1:35" ht="15" customHeight="1" x14ac:dyDescent="0.25">
      <c r="A36" s="730" t="s">
        <v>449</v>
      </c>
      <c r="B36" s="295"/>
      <c r="C36" s="296"/>
      <c r="D36" s="297" t="s">
        <v>448</v>
      </c>
      <c r="E36" s="687"/>
      <c r="F36" s="687"/>
      <c r="G36" s="687"/>
      <c r="H36" s="296"/>
      <c r="I36" s="296"/>
      <c r="J36" s="297" t="s">
        <v>447</v>
      </c>
      <c r="K36" s="687"/>
      <c r="L36" s="687"/>
      <c r="M36" s="687"/>
      <c r="N36" s="296"/>
      <c r="O36" s="296"/>
      <c r="P36" s="296"/>
      <c r="Q36" s="297" t="s">
        <v>446</v>
      </c>
      <c r="R36" s="612" t="str">
        <f>IFERROR('Mortgage Repayments (E)'!E4,"")</f>
        <v/>
      </c>
      <c r="S36" s="612"/>
      <c r="T36" s="612"/>
      <c r="U36" s="298"/>
      <c r="V36" s="296"/>
      <c r="W36" s="299"/>
      <c r="X36" s="72"/>
      <c r="Y36" s="72"/>
      <c r="AA36" s="72"/>
      <c r="AB36" s="72"/>
      <c r="AC36" s="72"/>
      <c r="AD36" s="72"/>
      <c r="AE36" s="72"/>
      <c r="AF36" s="72"/>
      <c r="AG36" s="72"/>
    </row>
    <row r="37" spans="1:35" x14ac:dyDescent="0.25">
      <c r="A37" s="720"/>
      <c r="B37" s="258"/>
      <c r="C37" s="256"/>
      <c r="D37" s="257" t="s">
        <v>445</v>
      </c>
      <c r="E37" s="587"/>
      <c r="F37" s="587"/>
      <c r="G37" s="587"/>
      <c r="H37" s="256"/>
      <c r="I37" s="256"/>
      <c r="J37" s="257" t="s">
        <v>444</v>
      </c>
      <c r="K37" s="587"/>
      <c r="L37" s="587"/>
      <c r="M37" s="587"/>
      <c r="N37" s="256"/>
      <c r="O37" s="257" t="s">
        <v>443</v>
      </c>
      <c r="P37" s="732"/>
      <c r="Q37" s="732"/>
      <c r="R37" s="732"/>
      <c r="S37" s="732"/>
      <c r="T37" s="732"/>
      <c r="U37" s="732"/>
      <c r="V37" s="256"/>
      <c r="W37" s="281"/>
      <c r="X37" s="72"/>
      <c r="Y37" s="72"/>
      <c r="Z37" s="72"/>
      <c r="AA37" s="72"/>
      <c r="AB37" s="72"/>
      <c r="AC37" s="72"/>
      <c r="AD37" s="72"/>
      <c r="AE37" s="72"/>
      <c r="AF37" s="72"/>
      <c r="AG37" s="72"/>
    </row>
    <row r="38" spans="1:35" x14ac:dyDescent="0.25">
      <c r="A38" s="720"/>
      <c r="B38" s="256"/>
      <c r="C38" s="256"/>
      <c r="D38" s="257" t="s">
        <v>442</v>
      </c>
      <c r="E38" s="633"/>
      <c r="F38" s="633"/>
      <c r="G38" s="633"/>
      <c r="I38" s="256"/>
      <c r="J38" s="257" t="s">
        <v>441</v>
      </c>
      <c r="K38" s="636"/>
      <c r="L38" s="636"/>
      <c r="M38" s="636"/>
      <c r="N38" s="636"/>
      <c r="O38" s="636"/>
      <c r="P38" s="636"/>
      <c r="Q38" s="256"/>
      <c r="R38" s="256"/>
      <c r="S38" s="257" t="s">
        <v>440</v>
      </c>
      <c r="T38" s="731"/>
      <c r="U38" s="636"/>
      <c r="V38" s="300"/>
      <c r="W38" s="281"/>
      <c r="X38" s="72"/>
      <c r="Y38" s="72"/>
      <c r="Z38" s="72"/>
      <c r="AA38" s="72"/>
      <c r="AB38" s="72"/>
      <c r="AC38" s="72"/>
      <c r="AD38" s="72"/>
      <c r="AE38" s="72"/>
      <c r="AF38" s="72"/>
      <c r="AG38" s="72"/>
    </row>
    <row r="39" spans="1:35" x14ac:dyDescent="0.25">
      <c r="A39" s="720"/>
      <c r="B39" s="256"/>
      <c r="C39" s="256"/>
      <c r="D39" s="257" t="s">
        <v>439</v>
      </c>
      <c r="E39" s="593"/>
      <c r="F39" s="593"/>
      <c r="G39" s="593"/>
      <c r="H39" s="256"/>
      <c r="I39" s="256"/>
      <c r="J39" s="257" t="s">
        <v>438</v>
      </c>
      <c r="K39" s="609"/>
      <c r="L39" s="610"/>
      <c r="M39" s="610"/>
      <c r="N39" s="610"/>
      <c r="O39" s="610"/>
      <c r="P39" s="610"/>
      <c r="Q39" s="610"/>
      <c r="R39" s="610"/>
      <c r="S39" s="610"/>
      <c r="T39" s="610"/>
      <c r="U39" s="610"/>
      <c r="V39" s="610"/>
      <c r="W39" s="611"/>
      <c r="X39" s="72"/>
      <c r="Y39" s="72"/>
      <c r="Z39" s="72"/>
      <c r="AA39" s="72"/>
      <c r="AB39" s="72"/>
      <c r="AC39" s="72"/>
      <c r="AD39" s="72"/>
      <c r="AE39" s="72"/>
      <c r="AF39" s="72"/>
      <c r="AG39" s="72"/>
    </row>
    <row r="40" spans="1:35" ht="15" customHeight="1" x14ac:dyDescent="0.25">
      <c r="A40" s="720"/>
      <c r="C40" s="62" t="s">
        <v>437</v>
      </c>
      <c r="D40" s="716"/>
      <c r="E40" s="717"/>
      <c r="F40" s="717"/>
      <c r="G40" s="717"/>
      <c r="H40" s="717"/>
      <c r="I40" s="717"/>
      <c r="J40" s="717"/>
      <c r="K40" s="717"/>
      <c r="L40" s="717"/>
      <c r="M40" s="717"/>
      <c r="N40" s="717"/>
      <c r="O40" s="717"/>
      <c r="P40" s="717"/>
      <c r="Q40" s="717"/>
      <c r="R40" s="717"/>
      <c r="S40" s="717"/>
      <c r="T40" s="717"/>
      <c r="U40" s="717"/>
      <c r="V40" s="717"/>
      <c r="W40" s="718"/>
      <c r="X40" s="72"/>
      <c r="Y40" s="72"/>
      <c r="Z40" s="72"/>
      <c r="AA40" s="72"/>
      <c r="AB40" s="72"/>
      <c r="AC40" s="72"/>
      <c r="AD40" s="72"/>
      <c r="AE40" s="72"/>
      <c r="AF40" s="72"/>
      <c r="AG40" s="72"/>
    </row>
    <row r="41" spans="1:35" ht="3" customHeight="1" x14ac:dyDescent="0.25">
      <c r="A41" s="301"/>
      <c r="B41" s="256"/>
      <c r="C41" s="256"/>
      <c r="D41" s="302"/>
      <c r="E41" s="302"/>
      <c r="F41" s="302"/>
      <c r="G41" s="302"/>
      <c r="H41" s="302"/>
      <c r="I41" s="302"/>
      <c r="J41" s="302"/>
      <c r="K41" s="302"/>
      <c r="L41" s="302"/>
      <c r="M41" s="302"/>
      <c r="N41" s="302"/>
      <c r="O41" s="302"/>
      <c r="P41" s="302"/>
      <c r="Q41" s="302"/>
      <c r="R41" s="302"/>
      <c r="S41" s="302"/>
      <c r="T41" s="302"/>
      <c r="U41" s="302"/>
      <c r="V41" s="302"/>
      <c r="W41" s="303"/>
      <c r="X41" s="72"/>
      <c r="Y41" s="72"/>
      <c r="Z41" s="72"/>
      <c r="AA41" s="72"/>
      <c r="AB41" s="72"/>
      <c r="AC41" s="72"/>
      <c r="AD41" s="72"/>
      <c r="AE41" s="72"/>
      <c r="AF41" s="72"/>
      <c r="AG41" s="72"/>
    </row>
    <row r="42" spans="1:35" ht="19.5" customHeight="1" x14ac:dyDescent="0.25">
      <c r="A42" s="728" t="s">
        <v>600</v>
      </c>
      <c r="B42" s="728"/>
      <c r="C42" s="728"/>
      <c r="D42" s="728"/>
      <c r="E42" s="728"/>
      <c r="F42" s="728"/>
      <c r="G42" s="728"/>
      <c r="H42" s="728"/>
      <c r="I42" s="728"/>
      <c r="J42" s="728"/>
      <c r="K42" s="728"/>
      <c r="L42" s="728"/>
      <c r="M42" s="728"/>
      <c r="N42" s="728"/>
      <c r="O42" s="728"/>
      <c r="P42" s="728"/>
      <c r="Q42" s="728"/>
      <c r="R42" s="728"/>
      <c r="S42" s="728"/>
      <c r="T42" s="728"/>
      <c r="U42" s="728"/>
      <c r="V42" s="728"/>
      <c r="W42" s="729"/>
      <c r="X42" s="72"/>
      <c r="Y42" s="72"/>
      <c r="Z42" s="72"/>
      <c r="AA42" s="72"/>
      <c r="AB42" s="72"/>
      <c r="AC42" s="571"/>
      <c r="AD42" s="571"/>
      <c r="AE42" s="571"/>
      <c r="AF42" s="571"/>
      <c r="AG42" s="571"/>
      <c r="AH42" s="571"/>
      <c r="AI42" s="571"/>
    </row>
    <row r="43" spans="1:35" ht="6" customHeight="1" x14ac:dyDescent="0.25">
      <c r="A43" s="269"/>
      <c r="B43" s="258"/>
      <c r="C43" s="256"/>
      <c r="D43" s="302"/>
      <c r="E43" s="302"/>
      <c r="F43" s="302"/>
      <c r="G43" s="302"/>
      <c r="H43" s="302"/>
      <c r="I43" s="302"/>
      <c r="J43" s="302"/>
      <c r="K43" s="302"/>
      <c r="L43" s="302"/>
      <c r="M43" s="302"/>
      <c r="N43" s="302"/>
      <c r="O43" s="302"/>
      <c r="P43" s="302"/>
      <c r="Q43" s="302"/>
      <c r="R43" s="302"/>
      <c r="S43" s="302"/>
      <c r="T43" s="302"/>
      <c r="U43" s="302"/>
      <c r="V43" s="302"/>
      <c r="W43" s="303"/>
      <c r="X43" s="72"/>
      <c r="Y43" s="72"/>
      <c r="Z43" s="72"/>
      <c r="AA43" s="72"/>
      <c r="AB43" s="72"/>
      <c r="AC43" s="72"/>
      <c r="AD43" s="72"/>
      <c r="AE43" s="72"/>
      <c r="AF43" s="72"/>
      <c r="AG43" s="72"/>
    </row>
    <row r="44" spans="1:35" x14ac:dyDescent="0.25">
      <c r="A44" s="628" t="s">
        <v>436</v>
      </c>
      <c r="B44" s="258" t="s">
        <v>400</v>
      </c>
      <c r="C44" s="65" t="s">
        <v>610</v>
      </c>
      <c r="D44" s="257" t="s">
        <v>435</v>
      </c>
      <c r="E44" s="715"/>
      <c r="F44" s="715"/>
      <c r="G44" s="715"/>
      <c r="H44" s="715"/>
      <c r="I44" s="715"/>
      <c r="J44" s="715"/>
      <c r="K44" s="715"/>
      <c r="L44" s="715"/>
      <c r="M44" s="715"/>
      <c r="N44" s="715"/>
      <c r="O44" s="256"/>
      <c r="P44" s="256"/>
      <c r="Q44" s="257" t="s">
        <v>434</v>
      </c>
      <c r="R44" s="613"/>
      <c r="S44" s="613"/>
      <c r="T44" t="s">
        <v>433</v>
      </c>
      <c r="U44" s="209"/>
      <c r="V44" s="76" t="s">
        <v>432</v>
      </c>
      <c r="W44" s="304"/>
      <c r="X44" s="219"/>
      <c r="Y44" s="305"/>
      <c r="Z44" s="72"/>
      <c r="AA44" s="72"/>
      <c r="AB44" s="72"/>
      <c r="AC44" s="72"/>
      <c r="AD44" s="72"/>
      <c r="AE44" s="72"/>
      <c r="AF44" s="72"/>
      <c r="AG44" s="72"/>
    </row>
    <row r="45" spans="1:35" ht="15.75" customHeight="1" x14ac:dyDescent="0.25">
      <c r="A45" s="629"/>
      <c r="B45" s="256"/>
      <c r="C45" s="391"/>
      <c r="D45" s="257" t="s">
        <v>431</v>
      </c>
      <c r="E45" s="593"/>
      <c r="F45" s="593"/>
      <c r="G45" s="593"/>
      <c r="H45" s="593"/>
      <c r="I45" s="62"/>
      <c r="J45" s="256"/>
      <c r="K45" s="256"/>
      <c r="O45" s="62"/>
      <c r="P45" s="62"/>
      <c r="Q45" s="257" t="s">
        <v>430</v>
      </c>
      <c r="R45" s="576"/>
      <c r="S45" s="576"/>
      <c r="T45" s="306"/>
      <c r="U45" s="306"/>
      <c r="V45" s="256"/>
      <c r="W45" s="281"/>
      <c r="X45" s="72"/>
      <c r="Y45" s="72"/>
      <c r="Z45" s="72"/>
      <c r="AA45" s="72"/>
      <c r="AB45" s="72"/>
      <c r="AC45" s="72"/>
      <c r="AD45" s="72"/>
      <c r="AE45" s="72"/>
      <c r="AF45" s="72"/>
      <c r="AG45" s="72"/>
    </row>
    <row r="46" spans="1:35" x14ac:dyDescent="0.25">
      <c r="A46" s="629"/>
      <c r="B46" s="307"/>
      <c r="C46" s="275"/>
      <c r="D46" s="275"/>
      <c r="E46" s="256"/>
      <c r="F46" s="256"/>
      <c r="G46" s="308"/>
      <c r="H46" s="257" t="s">
        <v>429</v>
      </c>
      <c r="I46" s="593"/>
      <c r="J46" s="593"/>
      <c r="K46" s="593"/>
      <c r="L46" s="309"/>
      <c r="M46" s="256"/>
      <c r="N46" s="256"/>
      <c r="O46" s="275"/>
      <c r="P46" s="277"/>
      <c r="Q46" s="278" t="s">
        <v>598</v>
      </c>
      <c r="R46" s="572"/>
      <c r="S46" s="572"/>
      <c r="T46" s="310" t="s">
        <v>599</v>
      </c>
      <c r="U46" s="572"/>
      <c r="V46" s="572"/>
      <c r="W46" s="573"/>
      <c r="X46" s="72"/>
      <c r="Y46" s="72"/>
      <c r="Z46" s="72"/>
      <c r="AA46" s="72"/>
      <c r="AB46" s="72"/>
      <c r="AC46" s="72"/>
      <c r="AD46" s="72"/>
      <c r="AE46" s="72"/>
      <c r="AF46" s="72"/>
      <c r="AG46" s="72"/>
    </row>
    <row r="47" spans="1:35" x14ac:dyDescent="0.25">
      <c r="A47" s="629"/>
      <c r="B47" s="258" t="s">
        <v>399</v>
      </c>
      <c r="C47" s="78" t="s">
        <v>610</v>
      </c>
      <c r="D47" s="257" t="s">
        <v>435</v>
      </c>
      <c r="E47" s="607"/>
      <c r="F47" s="608"/>
      <c r="G47" s="608"/>
      <c r="H47" s="608"/>
      <c r="I47" s="608"/>
      <c r="J47" s="608"/>
      <c r="K47" s="608"/>
      <c r="L47" s="608"/>
      <c r="M47" s="608"/>
      <c r="N47" s="608"/>
      <c r="O47" s="256"/>
      <c r="P47" s="256"/>
      <c r="Q47" s="257" t="s">
        <v>434</v>
      </c>
      <c r="R47" s="613"/>
      <c r="S47" s="613"/>
      <c r="T47" t="s">
        <v>433</v>
      </c>
      <c r="U47" s="209"/>
      <c r="V47" s="76" t="s">
        <v>432</v>
      </c>
      <c r="W47" s="304"/>
      <c r="X47" s="280">
        <f>E45+R45+(I46+E74)+U59+U60+U61-R46-U46</f>
        <v>0</v>
      </c>
      <c r="Z47" s="72"/>
      <c r="AA47" s="72"/>
      <c r="AB47" s="72"/>
      <c r="AC47" s="72"/>
      <c r="AD47" s="72"/>
      <c r="AE47" s="72"/>
      <c r="AF47" s="72"/>
      <c r="AG47" s="72"/>
    </row>
    <row r="48" spans="1:35" x14ac:dyDescent="0.25">
      <c r="A48" s="629"/>
      <c r="B48" s="256"/>
      <c r="C48" s="392"/>
      <c r="D48" s="257" t="s">
        <v>431</v>
      </c>
      <c r="E48" s="606"/>
      <c r="F48" s="593"/>
      <c r="G48" s="593"/>
      <c r="H48" s="593"/>
      <c r="I48" s="62"/>
      <c r="J48" s="256"/>
      <c r="K48" s="256"/>
      <c r="O48" s="256"/>
      <c r="P48" s="256"/>
      <c r="Q48" s="257" t="s">
        <v>430</v>
      </c>
      <c r="R48" s="576"/>
      <c r="S48" s="576"/>
      <c r="T48" s="306"/>
      <c r="U48" s="306"/>
      <c r="V48" s="256"/>
      <c r="W48" s="281"/>
      <c r="X48" s="72"/>
      <c r="Y48" s="72"/>
      <c r="Z48" s="72"/>
      <c r="AA48" s="72"/>
      <c r="AB48" s="72"/>
      <c r="AC48" s="72"/>
      <c r="AD48" s="72"/>
      <c r="AE48" s="72"/>
      <c r="AF48" s="72"/>
      <c r="AG48" s="72"/>
    </row>
    <row r="49" spans="1:33" x14ac:dyDescent="0.25">
      <c r="A49" s="629"/>
      <c r="B49" s="307"/>
      <c r="C49" s="275"/>
      <c r="D49" s="275"/>
      <c r="E49" s="256"/>
      <c r="F49" s="256"/>
      <c r="G49" s="308"/>
      <c r="H49" s="257" t="s">
        <v>429</v>
      </c>
      <c r="I49" s="593"/>
      <c r="J49" s="593"/>
      <c r="K49" s="593"/>
      <c r="L49" s="309"/>
      <c r="M49" s="256"/>
      <c r="N49" s="256"/>
      <c r="O49" s="275"/>
      <c r="P49" s="275"/>
      <c r="Q49" s="278" t="s">
        <v>598</v>
      </c>
      <c r="R49" s="574"/>
      <c r="S49" s="574"/>
      <c r="T49" s="310" t="s">
        <v>599</v>
      </c>
      <c r="U49" s="574"/>
      <c r="V49" s="574"/>
      <c r="W49" s="575"/>
      <c r="X49" s="280">
        <f>E48+R48+(I49+E75)+U62+U63+U64-R49-U49</f>
        <v>0</v>
      </c>
      <c r="AB49" s="72"/>
      <c r="AC49" s="72"/>
      <c r="AD49" s="72"/>
      <c r="AE49" s="72"/>
      <c r="AF49" s="72"/>
      <c r="AG49" s="72"/>
    </row>
    <row r="50" spans="1:33" x14ac:dyDescent="0.25">
      <c r="A50" s="629"/>
      <c r="B50" s="258" t="s">
        <v>398</v>
      </c>
      <c r="C50" s="78" t="s">
        <v>610</v>
      </c>
      <c r="D50" s="257" t="s">
        <v>435</v>
      </c>
      <c r="E50" s="607"/>
      <c r="F50" s="608"/>
      <c r="G50" s="608"/>
      <c r="H50" s="608"/>
      <c r="I50" s="608"/>
      <c r="J50" s="608"/>
      <c r="K50" s="608"/>
      <c r="L50" s="608"/>
      <c r="M50" s="608"/>
      <c r="N50" s="608"/>
      <c r="O50" s="256"/>
      <c r="P50" s="256"/>
      <c r="Q50" s="257" t="s">
        <v>434</v>
      </c>
      <c r="R50" s="613"/>
      <c r="S50" s="613"/>
      <c r="T50" t="s">
        <v>433</v>
      </c>
      <c r="U50" s="209"/>
      <c r="V50" s="76" t="s">
        <v>432</v>
      </c>
      <c r="W50" s="281"/>
      <c r="X50" s="72"/>
      <c r="AB50" s="72"/>
      <c r="AC50" s="72"/>
      <c r="AD50" s="72"/>
      <c r="AE50" s="72"/>
      <c r="AF50" s="72"/>
      <c r="AG50" s="72"/>
    </row>
    <row r="51" spans="1:33" x14ac:dyDescent="0.25">
      <c r="A51" s="629"/>
      <c r="B51" s="256"/>
      <c r="C51" s="392"/>
      <c r="D51" s="257" t="s">
        <v>431</v>
      </c>
      <c r="E51" s="606"/>
      <c r="F51" s="593"/>
      <c r="G51" s="593"/>
      <c r="H51" s="593"/>
      <c r="I51" s="62"/>
      <c r="J51" s="256"/>
      <c r="K51" s="256"/>
      <c r="O51" s="256"/>
      <c r="P51" s="256"/>
      <c r="Q51" s="257" t="s">
        <v>430</v>
      </c>
      <c r="R51" s="576"/>
      <c r="S51" s="576"/>
      <c r="T51" s="306"/>
      <c r="U51" s="306"/>
      <c r="V51" s="256"/>
      <c r="W51" s="281"/>
      <c r="X51" s="280">
        <f>E51+R51+(I52+E76)+U65+U66+U67-R52-U52</f>
        <v>0</v>
      </c>
      <c r="AB51" s="72"/>
      <c r="AC51" s="72"/>
      <c r="AD51" s="72"/>
      <c r="AE51" s="72"/>
      <c r="AF51" s="72"/>
      <c r="AG51" s="72"/>
    </row>
    <row r="52" spans="1:33" x14ac:dyDescent="0.25">
      <c r="A52" s="629"/>
      <c r="B52" s="307"/>
      <c r="C52" s="275"/>
      <c r="D52" s="275"/>
      <c r="E52" s="256"/>
      <c r="F52" s="256"/>
      <c r="G52" s="308"/>
      <c r="H52" s="257" t="s">
        <v>429</v>
      </c>
      <c r="I52" s="593"/>
      <c r="J52" s="593"/>
      <c r="K52" s="593"/>
      <c r="L52" s="309"/>
      <c r="M52" s="256"/>
      <c r="N52" s="256"/>
      <c r="O52" s="275"/>
      <c r="P52" s="275"/>
      <c r="Q52" s="278" t="s">
        <v>598</v>
      </c>
      <c r="R52" s="574"/>
      <c r="S52" s="574"/>
      <c r="T52" s="310" t="s">
        <v>599</v>
      </c>
      <c r="U52" s="574"/>
      <c r="V52" s="574"/>
      <c r="W52" s="575"/>
      <c r="X52" s="72"/>
      <c r="AB52" s="72"/>
      <c r="AC52" s="72"/>
      <c r="AD52" s="72"/>
      <c r="AE52" s="72"/>
      <c r="AF52" s="72"/>
      <c r="AG52" s="72"/>
    </row>
    <row r="53" spans="1:33" x14ac:dyDescent="0.25">
      <c r="A53" s="629"/>
      <c r="B53" s="258" t="s">
        <v>397</v>
      </c>
      <c r="C53" s="78" t="s">
        <v>610</v>
      </c>
      <c r="D53" s="257" t="s">
        <v>435</v>
      </c>
      <c r="E53" s="607"/>
      <c r="F53" s="608"/>
      <c r="G53" s="608"/>
      <c r="H53" s="608"/>
      <c r="I53" s="608"/>
      <c r="J53" s="608"/>
      <c r="K53" s="608"/>
      <c r="L53" s="608"/>
      <c r="M53" s="608"/>
      <c r="N53" s="608"/>
      <c r="O53" s="256"/>
      <c r="P53" s="256"/>
      <c r="Q53" s="257" t="s">
        <v>434</v>
      </c>
      <c r="R53" s="613"/>
      <c r="S53" s="613"/>
      <c r="T53" t="s">
        <v>433</v>
      </c>
      <c r="U53" s="209"/>
      <c r="V53" s="76" t="s">
        <v>432</v>
      </c>
      <c r="W53" s="281"/>
      <c r="X53" s="280">
        <f>E54+R54+(I55+E77)+U68+U69+U70-R55-U55</f>
        <v>0</v>
      </c>
      <c r="AB53" s="72"/>
      <c r="AC53" s="72"/>
      <c r="AD53" s="72"/>
      <c r="AE53" s="72"/>
      <c r="AF53" s="72"/>
      <c r="AG53" s="72"/>
    </row>
    <row r="54" spans="1:33" x14ac:dyDescent="0.25">
      <c r="A54" s="629"/>
      <c r="B54" s="256"/>
      <c r="C54" s="392"/>
      <c r="D54" s="257" t="s">
        <v>431</v>
      </c>
      <c r="E54" s="606"/>
      <c r="F54" s="593"/>
      <c r="G54" s="593"/>
      <c r="H54" s="593"/>
      <c r="I54" s="62"/>
      <c r="J54" s="256"/>
      <c r="K54" s="256"/>
      <c r="O54" s="256"/>
      <c r="P54" s="256"/>
      <c r="Q54" s="257" t="s">
        <v>430</v>
      </c>
      <c r="R54" s="576"/>
      <c r="S54" s="576"/>
      <c r="T54" s="306"/>
      <c r="U54" s="306"/>
      <c r="V54" s="256"/>
      <c r="W54" s="281"/>
      <c r="X54" s="72"/>
      <c r="AB54" s="72"/>
      <c r="AC54" s="72"/>
      <c r="AD54" s="72"/>
      <c r="AE54" s="72"/>
      <c r="AF54" s="72"/>
      <c r="AG54" s="72"/>
    </row>
    <row r="55" spans="1:33" x14ac:dyDescent="0.25">
      <c r="A55" s="629"/>
      <c r="B55" s="311"/>
      <c r="C55" s="256"/>
      <c r="D55" s="256"/>
      <c r="E55" s="256"/>
      <c r="F55" s="256"/>
      <c r="G55" s="308"/>
      <c r="H55" s="257" t="s">
        <v>429</v>
      </c>
      <c r="I55" s="593"/>
      <c r="J55" s="593"/>
      <c r="K55" s="593"/>
      <c r="L55" s="309"/>
      <c r="M55" s="256"/>
      <c r="N55" s="256"/>
      <c r="O55" s="256"/>
      <c r="P55" s="256"/>
      <c r="Q55" s="257" t="s">
        <v>598</v>
      </c>
      <c r="R55" s="576"/>
      <c r="S55" s="576"/>
      <c r="T55" s="312" t="s">
        <v>599</v>
      </c>
      <c r="U55" s="576"/>
      <c r="V55" s="576"/>
      <c r="W55" s="577"/>
      <c r="X55" s="72"/>
      <c r="AB55" s="72"/>
      <c r="AC55" s="72"/>
      <c r="AD55" s="72"/>
      <c r="AE55" s="72"/>
      <c r="AF55" s="72"/>
      <c r="AG55" s="72"/>
    </row>
    <row r="56" spans="1:33" ht="5.25" customHeight="1" x14ac:dyDescent="0.25">
      <c r="A56" s="685"/>
      <c r="B56" s="275"/>
      <c r="C56" s="275"/>
      <c r="D56" s="313"/>
      <c r="E56" s="313"/>
      <c r="F56" s="313"/>
      <c r="G56" s="313"/>
      <c r="H56" s="313"/>
      <c r="I56" s="313"/>
      <c r="J56" s="313"/>
      <c r="K56" s="313"/>
      <c r="L56" s="313"/>
      <c r="M56" s="313"/>
      <c r="N56" s="313"/>
      <c r="O56" s="313"/>
      <c r="P56" s="313"/>
      <c r="Q56" s="313"/>
      <c r="R56" s="313"/>
      <c r="S56" s="313"/>
      <c r="T56" s="313"/>
      <c r="U56" s="313"/>
      <c r="V56" s="313"/>
      <c r="W56" s="314"/>
      <c r="X56" s="72"/>
      <c r="Z56" s="315"/>
      <c r="AA56" s="315"/>
      <c r="AB56" s="72"/>
      <c r="AC56" s="72"/>
      <c r="AD56" s="72"/>
      <c r="AE56" s="72"/>
      <c r="AF56" s="72"/>
      <c r="AG56" s="72"/>
    </row>
    <row r="57" spans="1:33" x14ac:dyDescent="0.25">
      <c r="A57" s="627" t="s">
        <v>428</v>
      </c>
      <c r="B57" s="316"/>
      <c r="C57" s="317"/>
      <c r="D57" s="285"/>
      <c r="E57" s="285"/>
      <c r="F57" s="287" t="s">
        <v>427</v>
      </c>
      <c r="G57" s="607"/>
      <c r="H57" s="608"/>
      <c r="I57" s="608"/>
      <c r="J57" s="608"/>
      <c r="K57" s="608"/>
      <c r="L57" s="608"/>
      <c r="M57" s="608"/>
      <c r="N57" s="608"/>
      <c r="O57" s="608"/>
      <c r="P57" s="608"/>
      <c r="Q57" s="608"/>
      <c r="R57" s="608"/>
      <c r="S57" s="608"/>
      <c r="T57" s="608"/>
      <c r="U57" s="608"/>
      <c r="V57" s="608"/>
      <c r="W57" s="686"/>
      <c r="X57" s="72"/>
      <c r="Y57" s="315"/>
      <c r="Z57" s="315"/>
      <c r="AA57" s="315"/>
      <c r="AB57" s="72"/>
      <c r="AC57" s="75"/>
      <c r="AD57" s="72"/>
      <c r="AE57" s="72"/>
      <c r="AF57" s="72"/>
      <c r="AG57" s="72"/>
    </row>
    <row r="58" spans="1:33" ht="15.75" thickBot="1" x14ac:dyDescent="0.3">
      <c r="A58" s="628"/>
      <c r="B58" s="277"/>
      <c r="C58" s="275"/>
      <c r="D58" s="275"/>
      <c r="E58" s="275"/>
      <c r="F58" s="278" t="s">
        <v>426</v>
      </c>
      <c r="G58" s="614"/>
      <c r="H58" s="614"/>
      <c r="I58" s="614"/>
      <c r="J58" s="318"/>
      <c r="K58" s="614"/>
      <c r="L58" s="614"/>
      <c r="M58" s="614"/>
      <c r="N58" s="318"/>
      <c r="O58" s="614"/>
      <c r="P58" s="614"/>
      <c r="Q58" s="614"/>
      <c r="R58" s="275"/>
      <c r="S58" s="275"/>
      <c r="T58" s="275"/>
      <c r="U58" s="275"/>
      <c r="V58" s="275"/>
      <c r="W58" s="319"/>
      <c r="X58" s="72"/>
      <c r="Y58" s="315"/>
      <c r="Z58" s="315"/>
      <c r="AA58" s="315"/>
      <c r="AB58" s="72"/>
      <c r="AC58" s="320"/>
      <c r="AD58" s="75"/>
      <c r="AE58" s="72"/>
      <c r="AF58" s="72"/>
      <c r="AG58" s="72"/>
    </row>
    <row r="59" spans="1:33" x14ac:dyDescent="0.25">
      <c r="A59" s="628"/>
      <c r="B59" s="289" t="s">
        <v>400</v>
      </c>
      <c r="C59" s="288"/>
      <c r="D59" s="288"/>
      <c r="E59" s="288"/>
      <c r="F59" s="287" t="s">
        <v>421</v>
      </c>
      <c r="G59" s="604"/>
      <c r="H59" s="604"/>
      <c r="I59" s="604"/>
      <c r="J59" s="287" t="s">
        <v>417</v>
      </c>
      <c r="K59" s="604"/>
      <c r="L59" s="604"/>
      <c r="M59" s="604"/>
      <c r="N59" s="287" t="s">
        <v>417</v>
      </c>
      <c r="O59" s="604"/>
      <c r="P59" s="604"/>
      <c r="Q59" s="604"/>
      <c r="R59" s="321"/>
      <c r="S59" s="288"/>
      <c r="T59" s="287" t="s">
        <v>416</v>
      </c>
      <c r="U59" s="604"/>
      <c r="V59" s="604"/>
      <c r="W59" s="605"/>
      <c r="X59" s="72"/>
      <c r="Y59" s="700" t="s">
        <v>425</v>
      </c>
      <c r="Z59" s="701"/>
      <c r="AA59" s="702"/>
      <c r="AB59" s="72"/>
      <c r="AC59" s="72"/>
      <c r="AD59" s="72"/>
      <c r="AE59" s="72"/>
      <c r="AF59" s="72"/>
      <c r="AG59" s="72"/>
    </row>
    <row r="60" spans="1:33" ht="15" customHeight="1" thickBot="1" x14ac:dyDescent="0.3">
      <c r="A60" s="628"/>
      <c r="B60" s="76"/>
      <c r="C60" s="76"/>
      <c r="D60" s="76"/>
      <c r="E60" s="76"/>
      <c r="F60" s="257" t="s">
        <v>419</v>
      </c>
      <c r="G60" s="606"/>
      <c r="H60" s="606"/>
      <c r="I60" s="606"/>
      <c r="J60" s="257" t="s">
        <v>417</v>
      </c>
      <c r="K60" s="606"/>
      <c r="L60" s="606"/>
      <c r="M60" s="606"/>
      <c r="N60" s="257" t="s">
        <v>417</v>
      </c>
      <c r="O60" s="606"/>
      <c r="P60" s="606"/>
      <c r="Q60" s="606"/>
      <c r="R60" s="322"/>
      <c r="S60" s="76"/>
      <c r="T60" s="257" t="s">
        <v>416</v>
      </c>
      <c r="U60" s="606"/>
      <c r="V60" s="606"/>
      <c r="W60" s="706"/>
      <c r="X60" s="72"/>
      <c r="Y60" s="703"/>
      <c r="Z60" s="704"/>
      <c r="AA60" s="705"/>
      <c r="AB60" s="72"/>
      <c r="AC60" s="72"/>
      <c r="AD60" s="72"/>
      <c r="AE60" s="72"/>
      <c r="AF60" s="72"/>
      <c r="AG60" s="72"/>
    </row>
    <row r="61" spans="1:33" ht="15" customHeight="1" x14ac:dyDescent="0.25">
      <c r="A61" s="628"/>
      <c r="B61" s="323"/>
      <c r="C61" s="323"/>
      <c r="D61" s="323"/>
      <c r="E61" s="323"/>
      <c r="F61" s="278" t="s">
        <v>418</v>
      </c>
      <c r="G61" s="669"/>
      <c r="H61" s="669"/>
      <c r="I61" s="669"/>
      <c r="J61" s="278" t="s">
        <v>417</v>
      </c>
      <c r="K61" s="669"/>
      <c r="L61" s="669"/>
      <c r="M61" s="669"/>
      <c r="N61" s="278" t="s">
        <v>417</v>
      </c>
      <c r="O61" s="669"/>
      <c r="P61" s="669"/>
      <c r="Q61" s="669"/>
      <c r="R61" s="324"/>
      <c r="S61" s="323"/>
      <c r="T61" s="278" t="s">
        <v>416</v>
      </c>
      <c r="U61" s="669"/>
      <c r="V61" s="669"/>
      <c r="W61" s="671"/>
      <c r="X61" s="72"/>
      <c r="Y61" s="325"/>
      <c r="Z61" s="247"/>
      <c r="AA61" s="326"/>
      <c r="AB61" s="72"/>
      <c r="AC61" s="72"/>
      <c r="AD61" s="72"/>
      <c r="AE61" s="72"/>
      <c r="AF61" s="72"/>
      <c r="AG61" s="72"/>
    </row>
    <row r="62" spans="1:33" x14ac:dyDescent="0.25">
      <c r="A62" s="629"/>
      <c r="B62" s="258" t="s">
        <v>399</v>
      </c>
      <c r="C62" s="256"/>
      <c r="D62" s="256"/>
      <c r="E62" s="256"/>
      <c r="F62" s="257" t="s">
        <v>421</v>
      </c>
      <c r="G62" s="593"/>
      <c r="H62" s="593"/>
      <c r="I62" s="593"/>
      <c r="J62" s="257" t="s">
        <v>417</v>
      </c>
      <c r="K62" s="593"/>
      <c r="L62" s="593"/>
      <c r="M62" s="593"/>
      <c r="N62" s="257" t="s">
        <v>417</v>
      </c>
      <c r="O62" s="593"/>
      <c r="P62" s="593"/>
      <c r="Q62" s="593"/>
      <c r="R62" s="308"/>
      <c r="S62" s="256"/>
      <c r="T62" s="257" t="s">
        <v>416</v>
      </c>
      <c r="U62" s="593"/>
      <c r="V62" s="593"/>
      <c r="W62" s="670"/>
      <c r="X62" s="72"/>
      <c r="Y62" s="709" t="s">
        <v>424</v>
      </c>
      <c r="Z62" s="710"/>
      <c r="AA62" s="327">
        <f>SUM('Tax Calculator'!E38)-(U46/12)</f>
        <v>0</v>
      </c>
      <c r="AB62" s="72"/>
      <c r="AC62" s="72"/>
      <c r="AD62" s="72"/>
      <c r="AE62" s="72"/>
      <c r="AF62" s="72"/>
      <c r="AG62" s="72"/>
    </row>
    <row r="63" spans="1:33" x14ac:dyDescent="0.25">
      <c r="A63" s="629"/>
      <c r="B63" s="256"/>
      <c r="C63" s="256"/>
      <c r="D63" s="256"/>
      <c r="E63" s="256"/>
      <c r="F63" s="257" t="s">
        <v>419</v>
      </c>
      <c r="G63" s="593"/>
      <c r="H63" s="593"/>
      <c r="I63" s="593"/>
      <c r="J63" s="257" t="s">
        <v>417</v>
      </c>
      <c r="K63" s="593"/>
      <c r="L63" s="593"/>
      <c r="M63" s="593"/>
      <c r="N63" s="257" t="s">
        <v>417</v>
      </c>
      <c r="O63" s="593"/>
      <c r="P63" s="593"/>
      <c r="Q63" s="593"/>
      <c r="R63" s="308"/>
      <c r="S63" s="256"/>
      <c r="T63" s="257" t="s">
        <v>416</v>
      </c>
      <c r="U63" s="593"/>
      <c r="V63" s="593"/>
      <c r="W63" s="670"/>
      <c r="X63" s="72"/>
      <c r="Y63" s="328"/>
      <c r="Z63" s="212"/>
      <c r="AA63" s="329"/>
      <c r="AB63" s="72"/>
      <c r="AC63" s="72"/>
      <c r="AD63" s="72"/>
      <c r="AE63" s="72"/>
      <c r="AF63" s="72"/>
      <c r="AG63" s="72"/>
    </row>
    <row r="64" spans="1:33" x14ac:dyDescent="0.25">
      <c r="A64" s="629"/>
      <c r="B64" s="275"/>
      <c r="C64" s="275"/>
      <c r="D64" s="275"/>
      <c r="E64" s="275"/>
      <c r="F64" s="278" t="s">
        <v>418</v>
      </c>
      <c r="G64" s="672"/>
      <c r="H64" s="672"/>
      <c r="I64" s="672"/>
      <c r="J64" s="278" t="s">
        <v>417</v>
      </c>
      <c r="K64" s="672"/>
      <c r="L64" s="672"/>
      <c r="M64" s="672"/>
      <c r="N64" s="278" t="s">
        <v>417</v>
      </c>
      <c r="O64" s="672"/>
      <c r="P64" s="672"/>
      <c r="Q64" s="672"/>
      <c r="R64" s="330"/>
      <c r="S64" s="275"/>
      <c r="T64" s="278" t="s">
        <v>416</v>
      </c>
      <c r="U64" s="672"/>
      <c r="V64" s="672"/>
      <c r="W64" s="673"/>
      <c r="X64" s="72"/>
      <c r="Y64" s="709" t="s">
        <v>423</v>
      </c>
      <c r="Z64" s="710"/>
      <c r="AA64" s="327">
        <f>SUM('Tax Calculator'!J38)-(U49/12)</f>
        <v>0</v>
      </c>
      <c r="AB64" s="72"/>
      <c r="AC64" s="72"/>
      <c r="AD64" s="72"/>
      <c r="AE64" s="72"/>
      <c r="AF64" s="72"/>
      <c r="AG64" s="72"/>
    </row>
    <row r="65" spans="1:33" x14ac:dyDescent="0.25">
      <c r="A65" s="629"/>
      <c r="B65" s="258" t="s">
        <v>398</v>
      </c>
      <c r="C65" s="256"/>
      <c r="D65" s="256"/>
      <c r="E65" s="256"/>
      <c r="F65" s="257" t="s">
        <v>421</v>
      </c>
      <c r="G65" s="593"/>
      <c r="H65" s="593"/>
      <c r="I65" s="593"/>
      <c r="J65" s="257" t="s">
        <v>417</v>
      </c>
      <c r="K65" s="593"/>
      <c r="L65" s="593"/>
      <c r="M65" s="593"/>
      <c r="N65" s="257" t="s">
        <v>417</v>
      </c>
      <c r="O65" s="593"/>
      <c r="P65" s="593"/>
      <c r="Q65" s="593"/>
      <c r="R65" s="308"/>
      <c r="S65" s="256"/>
      <c r="T65" s="257" t="s">
        <v>416</v>
      </c>
      <c r="U65" s="593"/>
      <c r="V65" s="593"/>
      <c r="W65" s="670"/>
      <c r="X65" s="72"/>
      <c r="Y65" s="328"/>
      <c r="Z65" s="212"/>
      <c r="AA65" s="329"/>
      <c r="AB65" s="72"/>
      <c r="AC65" s="72"/>
      <c r="AD65" s="72"/>
      <c r="AE65" s="72"/>
      <c r="AF65" s="72"/>
      <c r="AG65" s="72"/>
    </row>
    <row r="66" spans="1:33" x14ac:dyDescent="0.25">
      <c r="A66" s="629"/>
      <c r="B66" s="256"/>
      <c r="C66" s="256"/>
      <c r="D66" s="256"/>
      <c r="E66" s="256"/>
      <c r="F66" s="257" t="s">
        <v>419</v>
      </c>
      <c r="G66" s="593"/>
      <c r="H66" s="593"/>
      <c r="I66" s="593"/>
      <c r="J66" s="257" t="s">
        <v>417</v>
      </c>
      <c r="K66" s="593"/>
      <c r="L66" s="593"/>
      <c r="M66" s="593"/>
      <c r="N66" s="257" t="s">
        <v>417</v>
      </c>
      <c r="O66" s="593"/>
      <c r="P66" s="593"/>
      <c r="Q66" s="593"/>
      <c r="R66" s="308"/>
      <c r="S66" s="256"/>
      <c r="T66" s="257" t="s">
        <v>416</v>
      </c>
      <c r="U66" s="593"/>
      <c r="V66" s="593"/>
      <c r="W66" s="670"/>
      <c r="X66" s="72"/>
      <c r="Y66" s="709" t="s">
        <v>422</v>
      </c>
      <c r="Z66" s="710"/>
      <c r="AA66" s="327">
        <f>'Tax Calculator'!O38-(U52/12)</f>
        <v>0</v>
      </c>
      <c r="AB66" s="72"/>
      <c r="AC66" s="72"/>
      <c r="AD66" s="72"/>
      <c r="AE66" s="72"/>
      <c r="AF66" s="72"/>
      <c r="AG66" s="72"/>
    </row>
    <row r="67" spans="1:33" x14ac:dyDescent="0.25">
      <c r="A67" s="629"/>
      <c r="B67" s="275"/>
      <c r="C67" s="275"/>
      <c r="D67" s="275"/>
      <c r="E67" s="275"/>
      <c r="F67" s="278" t="s">
        <v>418</v>
      </c>
      <c r="G67" s="672"/>
      <c r="H67" s="672"/>
      <c r="I67" s="672"/>
      <c r="J67" s="278" t="s">
        <v>417</v>
      </c>
      <c r="K67" s="672"/>
      <c r="L67" s="672"/>
      <c r="M67" s="672"/>
      <c r="N67" s="278" t="s">
        <v>417</v>
      </c>
      <c r="O67" s="672"/>
      <c r="P67" s="672"/>
      <c r="Q67" s="672"/>
      <c r="R67" s="330"/>
      <c r="S67" s="275"/>
      <c r="T67" s="278" t="s">
        <v>416</v>
      </c>
      <c r="U67" s="672"/>
      <c r="V67" s="672"/>
      <c r="W67" s="673"/>
      <c r="X67" s="72"/>
      <c r="Y67" s="328"/>
      <c r="Z67" s="212"/>
      <c r="AA67" s="329"/>
      <c r="AB67" s="72"/>
      <c r="AC67" s="72"/>
      <c r="AD67" s="72"/>
      <c r="AE67" s="72"/>
      <c r="AF67" s="72"/>
      <c r="AG67" s="72"/>
    </row>
    <row r="68" spans="1:33" ht="15.75" thickBot="1" x14ac:dyDescent="0.3">
      <c r="A68" s="629"/>
      <c r="B68" s="258" t="s">
        <v>397</v>
      </c>
      <c r="C68" s="256"/>
      <c r="D68" s="256"/>
      <c r="E68" s="256"/>
      <c r="F68" s="257" t="s">
        <v>421</v>
      </c>
      <c r="G68" s="593"/>
      <c r="H68" s="593"/>
      <c r="I68" s="593"/>
      <c r="J68" s="257" t="s">
        <v>417</v>
      </c>
      <c r="K68" s="593"/>
      <c r="L68" s="593"/>
      <c r="M68" s="593"/>
      <c r="N68" s="257" t="s">
        <v>417</v>
      </c>
      <c r="O68" s="593"/>
      <c r="P68" s="593"/>
      <c r="Q68" s="593"/>
      <c r="R68" s="308"/>
      <c r="S68" s="256"/>
      <c r="T68" s="257" t="s">
        <v>416</v>
      </c>
      <c r="U68" s="593"/>
      <c r="V68" s="593"/>
      <c r="W68" s="670"/>
      <c r="X68" s="72"/>
      <c r="Y68" s="707" t="s">
        <v>420</v>
      </c>
      <c r="Z68" s="708"/>
      <c r="AA68" s="331">
        <f>'Tax Calculator'!T38-(U55/12)</f>
        <v>0</v>
      </c>
      <c r="AB68" s="72"/>
      <c r="AC68" s="72"/>
      <c r="AD68" s="72"/>
      <c r="AE68" s="72"/>
      <c r="AF68" s="72"/>
      <c r="AG68" s="72"/>
    </row>
    <row r="69" spans="1:33" x14ac:dyDescent="0.25">
      <c r="A69" s="629"/>
      <c r="B69" s="256"/>
      <c r="C69" s="256"/>
      <c r="D69" s="256"/>
      <c r="E69" s="256"/>
      <c r="F69" s="257" t="s">
        <v>419</v>
      </c>
      <c r="G69" s="593"/>
      <c r="H69" s="593"/>
      <c r="I69" s="593"/>
      <c r="J69" s="257" t="s">
        <v>417</v>
      </c>
      <c r="K69" s="593"/>
      <c r="L69" s="593"/>
      <c r="M69" s="593"/>
      <c r="N69" s="257" t="s">
        <v>417</v>
      </c>
      <c r="O69" s="593"/>
      <c r="P69" s="593"/>
      <c r="Q69" s="593"/>
      <c r="R69" s="308"/>
      <c r="S69" s="256"/>
      <c r="T69" s="257" t="s">
        <v>416</v>
      </c>
      <c r="U69" s="593"/>
      <c r="V69" s="593"/>
      <c r="W69" s="670"/>
      <c r="X69" s="72"/>
      <c r="AB69" s="72"/>
      <c r="AC69" s="72"/>
      <c r="AD69" s="72"/>
      <c r="AE69" s="72"/>
      <c r="AF69" s="72"/>
      <c r="AG69" s="72"/>
    </row>
    <row r="70" spans="1:33" x14ac:dyDescent="0.25">
      <c r="A70" s="629"/>
      <c r="B70" s="275"/>
      <c r="C70" s="275"/>
      <c r="D70" s="275"/>
      <c r="E70" s="275"/>
      <c r="F70" s="278" t="s">
        <v>418</v>
      </c>
      <c r="G70" s="672"/>
      <c r="H70" s="672"/>
      <c r="I70" s="672"/>
      <c r="J70" s="278" t="s">
        <v>417</v>
      </c>
      <c r="K70" s="672"/>
      <c r="L70" s="672"/>
      <c r="M70" s="672"/>
      <c r="N70" s="278" t="s">
        <v>417</v>
      </c>
      <c r="O70" s="672"/>
      <c r="P70" s="672"/>
      <c r="Q70" s="672"/>
      <c r="R70" s="330"/>
      <c r="S70" s="275"/>
      <c r="T70" s="278" t="s">
        <v>416</v>
      </c>
      <c r="U70" s="672"/>
      <c r="V70" s="672"/>
      <c r="W70" s="673"/>
      <c r="X70" s="72"/>
      <c r="Y70" s="72"/>
      <c r="Z70" s="72"/>
      <c r="AA70" s="72"/>
      <c r="AB70" s="72"/>
      <c r="AC70" s="72"/>
      <c r="AD70" s="72"/>
      <c r="AE70" s="72"/>
      <c r="AF70" s="72"/>
      <c r="AG70" s="72"/>
    </row>
    <row r="71" spans="1:33" ht="58.5" customHeight="1" x14ac:dyDescent="0.25">
      <c r="A71" s="630"/>
      <c r="B71" s="332" t="s">
        <v>415</v>
      </c>
      <c r="C71" s="275"/>
      <c r="D71" s="697"/>
      <c r="E71" s="698"/>
      <c r="F71" s="698"/>
      <c r="G71" s="698"/>
      <c r="H71" s="698"/>
      <c r="I71" s="698"/>
      <c r="J71" s="698"/>
      <c r="K71" s="698"/>
      <c r="L71" s="698"/>
      <c r="M71" s="698"/>
      <c r="N71" s="698"/>
      <c r="O71" s="698"/>
      <c r="P71" s="698"/>
      <c r="Q71" s="698"/>
      <c r="R71" s="698"/>
      <c r="S71" s="698"/>
      <c r="T71" s="698"/>
      <c r="U71" s="698"/>
      <c r="V71" s="698"/>
      <c r="W71" s="699"/>
      <c r="X71" s="72"/>
      <c r="Y71" s="72"/>
      <c r="Z71" s="72"/>
      <c r="AA71" s="333"/>
      <c r="AB71" s="72"/>
      <c r="AC71" s="72"/>
      <c r="AD71" s="72"/>
      <c r="AE71" s="72"/>
      <c r="AF71" s="72"/>
      <c r="AG71" s="72"/>
    </row>
    <row r="72" spans="1:33" x14ac:dyDescent="0.25">
      <c r="A72" s="627" t="s">
        <v>148</v>
      </c>
      <c r="B72" s="258" t="s">
        <v>577</v>
      </c>
      <c r="C72" s="256"/>
      <c r="D72" s="256"/>
      <c r="E72" s="256"/>
      <c r="F72" s="256"/>
      <c r="G72" s="256"/>
      <c r="H72" s="256"/>
      <c r="I72" s="256"/>
      <c r="J72" s="256"/>
      <c r="K72" s="256"/>
      <c r="L72" s="256"/>
      <c r="M72" s="256"/>
      <c r="N72" s="256"/>
      <c r="O72" s="256"/>
      <c r="P72" s="256"/>
      <c r="Q72" s="256"/>
      <c r="R72" s="256"/>
      <c r="S72" s="256"/>
      <c r="T72" s="256"/>
      <c r="U72" s="256"/>
      <c r="V72" s="256"/>
      <c r="W72" s="281"/>
      <c r="X72" s="72"/>
      <c r="AB72" s="72"/>
      <c r="AC72" s="72"/>
      <c r="AD72" s="72"/>
      <c r="AE72" s="72"/>
      <c r="AF72" s="72"/>
      <c r="AG72" s="72"/>
    </row>
    <row r="73" spans="1:33" ht="4.5" customHeight="1" x14ac:dyDescent="0.25">
      <c r="A73" s="628"/>
      <c r="B73" s="258"/>
      <c r="C73" s="256"/>
      <c r="D73" s="256"/>
      <c r="E73" s="256"/>
      <c r="F73" s="256"/>
      <c r="G73" s="256"/>
      <c r="H73" s="256"/>
      <c r="I73" s="256"/>
      <c r="J73" s="256"/>
      <c r="K73" s="256"/>
      <c r="L73" s="256"/>
      <c r="M73" s="256"/>
      <c r="N73" s="256"/>
      <c r="O73" s="256"/>
      <c r="P73" s="256"/>
      <c r="Q73" s="256"/>
      <c r="R73" s="256"/>
      <c r="S73" s="256"/>
      <c r="T73" s="256"/>
      <c r="U73" s="256"/>
      <c r="V73" s="256"/>
      <c r="W73" s="281"/>
      <c r="X73" s="72"/>
      <c r="AB73" s="72"/>
      <c r="AC73" s="72"/>
      <c r="AD73" s="72"/>
      <c r="AE73" s="72"/>
      <c r="AF73" s="72"/>
      <c r="AG73" s="72"/>
    </row>
    <row r="74" spans="1:33" x14ac:dyDescent="0.25">
      <c r="A74" s="629"/>
      <c r="B74" s="334" t="s">
        <v>414</v>
      </c>
      <c r="C74" s="256"/>
      <c r="D74" s="257"/>
      <c r="E74" s="674"/>
      <c r="F74" s="674"/>
      <c r="G74" s="674"/>
      <c r="H74" s="308"/>
      <c r="I74" s="257" t="s">
        <v>410</v>
      </c>
      <c r="J74" s="632"/>
      <c r="K74" s="636"/>
      <c r="L74" s="636"/>
      <c r="M74" s="636"/>
      <c r="N74" s="636"/>
      <c r="O74" s="636"/>
      <c r="P74" s="636"/>
      <c r="Q74" s="636"/>
      <c r="R74" s="636"/>
      <c r="S74" s="636"/>
      <c r="T74" s="636"/>
      <c r="U74" s="636"/>
      <c r="V74" s="636"/>
      <c r="W74" s="637"/>
      <c r="X74" s="72"/>
      <c r="AB74" s="72"/>
      <c r="AC74" s="72"/>
      <c r="AD74" s="72"/>
      <c r="AE74" s="72"/>
      <c r="AF74" s="72"/>
      <c r="AG74" s="72"/>
    </row>
    <row r="75" spans="1:33" x14ac:dyDescent="0.25">
      <c r="A75" s="629"/>
      <c r="B75" s="334" t="s">
        <v>413</v>
      </c>
      <c r="C75" s="256"/>
      <c r="D75" s="257"/>
      <c r="E75" s="674"/>
      <c r="F75" s="674"/>
      <c r="G75" s="674"/>
      <c r="H75" s="256"/>
      <c r="I75" s="257" t="s">
        <v>410</v>
      </c>
      <c r="J75" s="632"/>
      <c r="K75" s="636"/>
      <c r="L75" s="636"/>
      <c r="M75" s="636"/>
      <c r="N75" s="636"/>
      <c r="O75" s="636"/>
      <c r="P75" s="636"/>
      <c r="Q75" s="636"/>
      <c r="R75" s="636"/>
      <c r="S75" s="636"/>
      <c r="T75" s="636"/>
      <c r="U75" s="636"/>
      <c r="V75" s="636"/>
      <c r="W75" s="637"/>
      <c r="X75" s="72"/>
      <c r="AB75" s="72"/>
      <c r="AC75" s="72"/>
      <c r="AD75" s="72"/>
      <c r="AE75" s="72"/>
      <c r="AF75" s="72"/>
      <c r="AG75" s="72"/>
    </row>
    <row r="76" spans="1:33" x14ac:dyDescent="0.25">
      <c r="A76" s="629"/>
      <c r="B76" s="334" t="s">
        <v>412</v>
      </c>
      <c r="C76" s="256"/>
      <c r="D76" s="257"/>
      <c r="E76" s="674"/>
      <c r="F76" s="674"/>
      <c r="G76" s="674"/>
      <c r="H76" s="256"/>
      <c r="I76" s="257" t="s">
        <v>410</v>
      </c>
      <c r="J76" s="632"/>
      <c r="K76" s="636"/>
      <c r="L76" s="636"/>
      <c r="M76" s="636"/>
      <c r="N76" s="636"/>
      <c r="O76" s="636"/>
      <c r="P76" s="636"/>
      <c r="Q76" s="636"/>
      <c r="R76" s="636"/>
      <c r="S76" s="636"/>
      <c r="T76" s="636"/>
      <c r="U76" s="636"/>
      <c r="V76" s="636"/>
      <c r="W76" s="637"/>
      <c r="X76" s="72"/>
      <c r="AB76" s="72"/>
      <c r="AC76" s="72"/>
      <c r="AD76" s="72"/>
      <c r="AE76" s="72"/>
      <c r="AF76" s="72"/>
      <c r="AG76" s="72"/>
    </row>
    <row r="77" spans="1:33" x14ac:dyDescent="0.25">
      <c r="A77" s="629"/>
      <c r="B77" s="334" t="s">
        <v>411</v>
      </c>
      <c r="C77" s="256"/>
      <c r="D77" s="257"/>
      <c r="E77" s="674"/>
      <c r="F77" s="674"/>
      <c r="G77" s="674"/>
      <c r="H77" s="256"/>
      <c r="I77" s="257" t="s">
        <v>410</v>
      </c>
      <c r="J77" s="632"/>
      <c r="K77" s="636"/>
      <c r="L77" s="636"/>
      <c r="M77" s="636"/>
      <c r="N77" s="636"/>
      <c r="O77" s="636"/>
      <c r="P77" s="636"/>
      <c r="Q77" s="636"/>
      <c r="R77" s="636"/>
      <c r="S77" s="636"/>
      <c r="T77" s="636"/>
      <c r="U77" s="636"/>
      <c r="V77" s="636"/>
      <c r="W77" s="637"/>
      <c r="X77" s="72"/>
      <c r="AB77" s="72"/>
      <c r="AC77" s="72"/>
      <c r="AD77" s="72"/>
      <c r="AE77" s="72"/>
      <c r="AF77" s="72"/>
      <c r="AG77" s="72"/>
    </row>
    <row r="78" spans="1:33" ht="5.25" customHeight="1" x14ac:dyDescent="0.25">
      <c r="A78" s="629"/>
      <c r="B78" s="335"/>
      <c r="C78" s="275"/>
      <c r="D78" s="278"/>
      <c r="E78" s="336"/>
      <c r="F78" s="336"/>
      <c r="G78" s="336"/>
      <c r="H78" s="275"/>
      <c r="I78" s="278"/>
      <c r="J78" s="275"/>
      <c r="K78" s="275"/>
      <c r="L78" s="275"/>
      <c r="M78" s="275"/>
      <c r="N78" s="275"/>
      <c r="O78" s="275"/>
      <c r="P78" s="275"/>
      <c r="Q78" s="275"/>
      <c r="R78" s="275"/>
      <c r="S78" s="275"/>
      <c r="T78" s="275"/>
      <c r="U78" s="275"/>
      <c r="V78" s="275"/>
      <c r="W78" s="319"/>
      <c r="X78" s="72"/>
      <c r="AB78" s="72"/>
      <c r="AC78" s="72"/>
      <c r="AD78" s="72"/>
      <c r="AE78" s="72"/>
      <c r="AF78" s="72"/>
      <c r="AG78" s="72"/>
    </row>
    <row r="79" spans="1:33" x14ac:dyDescent="0.25">
      <c r="A79" s="719" t="s">
        <v>409</v>
      </c>
      <c r="B79" s="285"/>
      <c r="C79" s="285"/>
      <c r="D79" s="285"/>
      <c r="E79" s="285"/>
      <c r="F79" s="722" t="s">
        <v>594</v>
      </c>
      <c r="G79" s="722"/>
      <c r="H79" s="722"/>
      <c r="I79" s="337"/>
      <c r="J79" s="338"/>
      <c r="K79" s="723" t="s">
        <v>399</v>
      </c>
      <c r="L79" s="723"/>
      <c r="M79" s="723"/>
      <c r="N79" s="338"/>
      <c r="O79" s="339"/>
      <c r="P79" s="722" t="s">
        <v>398</v>
      </c>
      <c r="Q79" s="722"/>
      <c r="R79" s="722"/>
      <c r="S79" s="340"/>
      <c r="T79" s="338"/>
      <c r="U79" s="723" t="s">
        <v>397</v>
      </c>
      <c r="V79" s="723"/>
      <c r="W79" s="724"/>
      <c r="X79" s="72"/>
      <c r="Y79" s="72"/>
      <c r="Z79" s="72"/>
      <c r="AA79" s="72"/>
      <c r="AB79" s="72"/>
      <c r="AC79" s="72"/>
      <c r="AD79" s="72"/>
      <c r="AE79" s="72"/>
      <c r="AF79" s="72"/>
      <c r="AG79" s="72"/>
    </row>
    <row r="80" spans="1:33" x14ac:dyDescent="0.25">
      <c r="A80" s="720"/>
      <c r="C80" s="62" t="s">
        <v>593</v>
      </c>
      <c r="F80" s="578"/>
      <c r="G80" s="578"/>
      <c r="H80" s="578"/>
      <c r="K80" s="579"/>
      <c r="L80" s="579"/>
      <c r="M80" s="579"/>
      <c r="P80" s="578"/>
      <c r="Q80" s="578"/>
      <c r="R80" s="578"/>
      <c r="U80" s="579"/>
      <c r="V80" s="579"/>
      <c r="W80" s="580"/>
      <c r="X80" s="72"/>
      <c r="Y80" s="72"/>
      <c r="Z80" s="72"/>
      <c r="AA80" s="72"/>
      <c r="AB80" s="72"/>
      <c r="AC80" s="72"/>
      <c r="AD80" s="72"/>
      <c r="AE80" s="72"/>
      <c r="AF80" s="72"/>
      <c r="AG80" s="72"/>
    </row>
    <row r="81" spans="1:33" ht="4.5" customHeight="1" x14ac:dyDescent="0.25">
      <c r="A81" s="721"/>
      <c r="B81" s="277"/>
      <c r="C81" s="341"/>
      <c r="D81" s="342"/>
      <c r="E81" s="341"/>
      <c r="F81" s="343"/>
      <c r="G81" s="343"/>
      <c r="H81" s="343"/>
      <c r="I81" s="341"/>
      <c r="J81" s="344"/>
      <c r="K81" s="345"/>
      <c r="L81" s="345"/>
      <c r="M81" s="345"/>
      <c r="N81" s="342"/>
      <c r="O81" s="341"/>
      <c r="P81" s="343"/>
      <c r="Q81" s="343"/>
      <c r="R81" s="343"/>
      <c r="S81" s="341"/>
      <c r="T81" s="344"/>
      <c r="U81" s="345"/>
      <c r="V81" s="345"/>
      <c r="W81" s="346"/>
      <c r="X81" s="72"/>
      <c r="Y81" s="72"/>
      <c r="Z81" s="72"/>
      <c r="AA81" s="72"/>
      <c r="AB81" s="72"/>
      <c r="AC81" s="72"/>
      <c r="AD81" s="72"/>
      <c r="AE81" s="72"/>
      <c r="AF81" s="72"/>
      <c r="AG81" s="72"/>
    </row>
    <row r="82" spans="1:33" ht="4.5" customHeight="1" x14ac:dyDescent="0.25">
      <c r="A82" s="719" t="s">
        <v>339</v>
      </c>
      <c r="B82" s="62"/>
      <c r="C82" s="347"/>
      <c r="D82" s="348"/>
      <c r="E82" s="347"/>
      <c r="F82" s="349"/>
      <c r="G82" s="349"/>
      <c r="H82" s="349"/>
      <c r="I82" s="347"/>
      <c r="J82" s="350"/>
      <c r="K82" s="351"/>
      <c r="L82" s="351"/>
      <c r="M82" s="351"/>
      <c r="N82" s="348"/>
      <c r="O82" s="347"/>
      <c r="P82" s="349"/>
      <c r="Q82" s="349"/>
      <c r="R82" s="349"/>
      <c r="S82" s="347"/>
      <c r="T82" s="350"/>
      <c r="U82" s="351"/>
      <c r="V82" s="351"/>
      <c r="W82" s="352"/>
      <c r="X82" s="72"/>
      <c r="Y82" s="72"/>
      <c r="Z82" s="72"/>
      <c r="AA82" s="72"/>
      <c r="AB82" s="72"/>
      <c r="AC82" s="72"/>
      <c r="AD82" s="72"/>
      <c r="AE82" s="72"/>
      <c r="AF82" s="72"/>
      <c r="AG82" s="72"/>
    </row>
    <row r="83" spans="1:33" x14ac:dyDescent="0.25">
      <c r="A83" s="720"/>
      <c r="C83" s="62" t="s">
        <v>578</v>
      </c>
      <c r="E83" s="347"/>
      <c r="F83" s="588"/>
      <c r="G83" s="588"/>
      <c r="H83" s="588"/>
      <c r="I83" s="347"/>
      <c r="J83" s="353"/>
      <c r="K83" s="588"/>
      <c r="L83" s="588"/>
      <c r="M83" s="588"/>
      <c r="N83" s="62"/>
      <c r="O83" s="347"/>
      <c r="P83" s="588"/>
      <c r="Q83" s="588"/>
      <c r="R83" s="588"/>
      <c r="S83" s="347"/>
      <c r="T83" s="353"/>
      <c r="U83" s="588"/>
      <c r="V83" s="588"/>
      <c r="W83" s="714"/>
      <c r="X83" s="72"/>
      <c r="Y83" s="72"/>
      <c r="Z83" s="72"/>
      <c r="AA83" s="72"/>
      <c r="AB83" s="72"/>
      <c r="AC83" s="72"/>
      <c r="AD83" s="72"/>
      <c r="AE83" s="72"/>
      <c r="AF83" s="72"/>
      <c r="AG83" s="72"/>
    </row>
    <row r="84" spans="1:33" ht="6.75" customHeight="1" x14ac:dyDescent="0.25">
      <c r="A84" s="721"/>
      <c r="B84" s="275"/>
      <c r="C84" s="275"/>
      <c r="D84" s="275"/>
      <c r="E84" s="330"/>
      <c r="F84" s="330"/>
      <c r="G84" s="354"/>
      <c r="H84" s="276"/>
      <c r="I84" s="276"/>
      <c r="J84" s="330"/>
      <c r="K84" s="355"/>
      <c r="L84" s="313"/>
      <c r="M84" s="313"/>
      <c r="N84" s="330"/>
      <c r="O84" s="354"/>
      <c r="P84" s="276"/>
      <c r="Q84" s="276"/>
      <c r="R84" s="330"/>
      <c r="S84" s="275"/>
      <c r="T84" s="330"/>
      <c r="U84" s="313"/>
      <c r="V84" s="313"/>
      <c r="W84" s="314"/>
      <c r="X84" s="72"/>
      <c r="Y84" s="72"/>
      <c r="Z84" s="72"/>
      <c r="AA84" s="72"/>
      <c r="AB84" s="72"/>
      <c r="AC84" s="72"/>
      <c r="AD84" s="72"/>
      <c r="AE84" s="72"/>
      <c r="AF84" s="72"/>
      <c r="AG84" s="72"/>
    </row>
    <row r="85" spans="1:33" ht="5.25" customHeight="1" x14ac:dyDescent="0.25">
      <c r="A85" s="591" t="s">
        <v>408</v>
      </c>
      <c r="B85" s="285"/>
      <c r="C85" s="285"/>
      <c r="D85" s="285"/>
      <c r="E85" s="356"/>
      <c r="F85" s="356"/>
      <c r="G85" s="357"/>
      <c r="H85" s="358"/>
      <c r="I85" s="358"/>
      <c r="J85" s="356"/>
      <c r="K85" s="359"/>
      <c r="L85" s="360"/>
      <c r="M85" s="360"/>
      <c r="N85" s="356"/>
      <c r="O85" s="357"/>
      <c r="P85" s="358"/>
      <c r="Q85" s="358"/>
      <c r="R85" s="356"/>
      <c r="S85" s="285"/>
      <c r="T85" s="356"/>
      <c r="U85" s="360"/>
      <c r="V85" s="360"/>
      <c r="W85" s="361"/>
      <c r="X85" s="72"/>
      <c r="Y85" s="72"/>
      <c r="Z85" s="72"/>
      <c r="AA85" s="72"/>
      <c r="AB85" s="72"/>
      <c r="AC85" s="72"/>
      <c r="AD85" s="72"/>
      <c r="AE85" s="72"/>
      <c r="AF85" s="72"/>
      <c r="AG85" s="72"/>
    </row>
    <row r="86" spans="1:33" x14ac:dyDescent="0.25">
      <c r="A86" s="592"/>
      <c r="B86" s="256"/>
      <c r="C86" s="256"/>
      <c r="D86" s="257" t="s">
        <v>407</v>
      </c>
      <c r="E86" s="210"/>
      <c r="F86" s="308"/>
      <c r="G86" s="362"/>
      <c r="H86" s="257" t="s">
        <v>406</v>
      </c>
      <c r="I86" s="593"/>
      <c r="J86" s="587"/>
      <c r="K86" s="587"/>
      <c r="L86" s="256"/>
      <c r="M86" s="302"/>
      <c r="N86" s="257" t="s">
        <v>405</v>
      </c>
      <c r="O86" s="587"/>
      <c r="P86" s="587"/>
      <c r="Q86" s="587"/>
      <c r="R86" s="256"/>
      <c r="S86" s="52" t="s">
        <v>404</v>
      </c>
      <c r="T86" s="363"/>
      <c r="U86" s="363"/>
      <c r="V86" s="583" t="str">
        <f>IFERROR(O86/I86,"")</f>
        <v/>
      </c>
      <c r="W86" s="584"/>
      <c r="X86" s="72"/>
      <c r="Y86" s="72"/>
      <c r="Z86" s="72"/>
      <c r="AA86" s="75"/>
      <c r="AB86" s="72"/>
      <c r="AC86" s="72"/>
      <c r="AD86" s="72"/>
      <c r="AE86" s="72"/>
      <c r="AF86" s="72"/>
      <c r="AG86" s="72"/>
    </row>
    <row r="87" spans="1:33" ht="15" customHeight="1" x14ac:dyDescent="0.25">
      <c r="A87" s="592"/>
      <c r="B87" s="256"/>
      <c r="C87" s="256"/>
      <c r="D87" s="257"/>
      <c r="E87" s="308"/>
      <c r="F87" s="308"/>
      <c r="G87" s="362"/>
      <c r="H87" s="257" t="s">
        <v>403</v>
      </c>
      <c r="I87" s="595"/>
      <c r="J87" s="595"/>
      <c r="K87" s="595"/>
      <c r="L87" s="256"/>
      <c r="M87" s="302"/>
      <c r="N87" s="257" t="s">
        <v>402</v>
      </c>
      <c r="O87" s="594"/>
      <c r="P87" s="595"/>
      <c r="Q87" s="595"/>
      <c r="R87" s="256"/>
      <c r="S87" s="581" t="str">
        <f>IF(O87="","",IF(O87&lt;(I87*1.25),"Not Self Supporting","Self Supporting"))</f>
        <v/>
      </c>
      <c r="T87" s="581"/>
      <c r="U87" s="581"/>
      <c r="V87" s="581"/>
      <c r="W87" s="582"/>
      <c r="X87" s="72"/>
      <c r="Y87" s="72"/>
      <c r="Z87" s="72"/>
      <c r="AA87" s="72"/>
      <c r="AB87" s="72"/>
      <c r="AC87" s="72"/>
      <c r="AD87" s="72"/>
      <c r="AE87" s="72"/>
      <c r="AF87" s="72"/>
      <c r="AG87" s="72"/>
    </row>
    <row r="88" spans="1:33" ht="5.25" customHeight="1" x14ac:dyDescent="0.25">
      <c r="A88" s="364"/>
      <c r="B88" s="365"/>
      <c r="C88" s="365"/>
      <c r="D88" s="366"/>
      <c r="E88" s="367"/>
      <c r="F88" s="367"/>
      <c r="G88" s="368"/>
      <c r="H88" s="366"/>
      <c r="I88" s="369"/>
      <c r="J88" s="367"/>
      <c r="K88" s="370"/>
      <c r="L88" s="365"/>
      <c r="M88" s="371"/>
      <c r="N88" s="367"/>
      <c r="O88" s="366"/>
      <c r="P88" s="369"/>
      <c r="Q88" s="369"/>
      <c r="R88" s="365"/>
      <c r="S88" s="365"/>
      <c r="T88" s="366"/>
      <c r="U88" s="365"/>
      <c r="V88" s="371"/>
      <c r="W88" s="372"/>
      <c r="X88" s="72"/>
      <c r="Y88" s="72"/>
      <c r="Z88" s="72"/>
      <c r="AA88" s="72"/>
      <c r="AB88" s="72"/>
      <c r="AC88" s="72"/>
      <c r="AD88" s="72"/>
      <c r="AE88" s="72"/>
      <c r="AF88" s="72"/>
      <c r="AG88" s="72"/>
    </row>
    <row r="89" spans="1:33" ht="15" customHeight="1" x14ac:dyDescent="0.25">
      <c r="A89" s="596" t="s">
        <v>401</v>
      </c>
      <c r="B89" s="597" t="s">
        <v>400</v>
      </c>
      <c r="C89" s="373"/>
      <c r="D89" s="373"/>
      <c r="E89" s="373"/>
      <c r="F89" s="373"/>
      <c r="G89" s="373"/>
      <c r="H89" s="373"/>
      <c r="I89" s="373"/>
      <c r="J89" s="373"/>
      <c r="K89" s="373"/>
      <c r="L89" s="373"/>
      <c r="M89" s="373"/>
      <c r="N89" s="373"/>
      <c r="O89" s="373"/>
      <c r="P89" s="373"/>
      <c r="Q89" s="373"/>
      <c r="R89" s="374" t="s">
        <v>387</v>
      </c>
      <c r="S89" s="586"/>
      <c r="T89" s="586"/>
      <c r="U89" s="586"/>
      <c r="V89" s="375"/>
      <c r="W89" s="376"/>
      <c r="X89" s="72"/>
      <c r="Y89" s="72"/>
      <c r="Z89" s="72"/>
      <c r="AA89" s="72"/>
      <c r="AB89" s="72"/>
      <c r="AC89" s="72"/>
      <c r="AD89" s="72"/>
      <c r="AE89" s="72"/>
      <c r="AF89" s="72"/>
      <c r="AG89" s="72"/>
    </row>
    <row r="90" spans="1:33" ht="15" customHeight="1" x14ac:dyDescent="0.25">
      <c r="A90" s="596"/>
      <c r="B90" s="598"/>
      <c r="C90" s="256"/>
      <c r="D90" s="256"/>
      <c r="E90" s="256"/>
      <c r="F90" s="257" t="s">
        <v>396</v>
      </c>
      <c r="G90" s="587"/>
      <c r="H90" s="587"/>
      <c r="I90" s="587"/>
      <c r="J90" s="256"/>
      <c r="K90" s="256"/>
      <c r="L90" s="256"/>
      <c r="M90" s="256"/>
      <c r="N90" s="256"/>
      <c r="O90" s="256"/>
      <c r="P90" s="256"/>
      <c r="Q90" s="256"/>
      <c r="R90" s="257" t="s">
        <v>386</v>
      </c>
      <c r="S90" s="587"/>
      <c r="T90" s="587"/>
      <c r="U90" s="587"/>
      <c r="V90" s="256"/>
      <c r="W90" s="281"/>
      <c r="X90" s="72"/>
      <c r="Y90" s="72"/>
      <c r="Z90" s="72"/>
      <c r="AA90" s="72"/>
      <c r="AB90" s="72"/>
      <c r="AC90" s="72"/>
      <c r="AD90" s="72"/>
      <c r="AE90" s="72"/>
      <c r="AF90" s="72"/>
      <c r="AG90" s="72"/>
    </row>
    <row r="91" spans="1:33" ht="15" customHeight="1" x14ac:dyDescent="0.25">
      <c r="A91" s="596"/>
      <c r="B91" s="598"/>
      <c r="C91" s="256"/>
      <c r="D91" s="256"/>
      <c r="E91" s="256"/>
      <c r="F91" s="257" t="s">
        <v>395</v>
      </c>
      <c r="G91" s="587"/>
      <c r="H91" s="587"/>
      <c r="I91" s="587"/>
      <c r="J91" s="256"/>
      <c r="K91" s="256"/>
      <c r="L91" s="256"/>
      <c r="M91" s="256"/>
      <c r="N91" s="256"/>
      <c r="O91" s="256"/>
      <c r="P91" s="256"/>
      <c r="Q91" s="256"/>
      <c r="R91" s="257" t="s">
        <v>394</v>
      </c>
      <c r="S91" s="587"/>
      <c r="T91" s="587"/>
      <c r="U91" s="587"/>
      <c r="V91" s="377"/>
      <c r="W91" s="281"/>
      <c r="X91" s="72"/>
      <c r="Y91" s="72"/>
      <c r="Z91" s="72"/>
      <c r="AA91" s="72"/>
      <c r="AB91" s="72"/>
      <c r="AC91" s="72"/>
      <c r="AD91" s="72"/>
      <c r="AE91" s="72"/>
      <c r="AF91" s="72"/>
      <c r="AG91" s="72"/>
    </row>
    <row r="92" spans="1:33" x14ac:dyDescent="0.25">
      <c r="A92" s="596"/>
      <c r="B92" s="598"/>
      <c r="C92" s="256"/>
      <c r="D92" s="256"/>
      <c r="E92" s="256"/>
      <c r="F92" s="257" t="s">
        <v>393</v>
      </c>
      <c r="G92" s="587"/>
      <c r="H92" s="587"/>
      <c r="I92" s="587"/>
      <c r="J92" s="256"/>
      <c r="K92" s="256"/>
      <c r="L92" s="256"/>
      <c r="M92" s="256"/>
      <c r="N92" s="256"/>
      <c r="O92" s="256"/>
      <c r="P92" s="256"/>
      <c r="Q92" s="256"/>
      <c r="R92" s="257" t="s">
        <v>591</v>
      </c>
      <c r="S92" s="587"/>
      <c r="T92" s="587"/>
      <c r="U92" s="587"/>
      <c r="V92" s="377"/>
      <c r="W92" s="281"/>
      <c r="X92" s="72"/>
      <c r="Y92" s="72"/>
      <c r="Z92" s="72"/>
      <c r="AA92" s="72"/>
      <c r="AB92" s="589"/>
      <c r="AC92" s="590"/>
      <c r="AD92" s="72"/>
      <c r="AE92" s="72"/>
      <c r="AF92" s="72"/>
      <c r="AG92" s="72"/>
    </row>
    <row r="93" spans="1:33" x14ac:dyDescent="0.25">
      <c r="A93" s="596"/>
      <c r="B93" s="598"/>
      <c r="C93" s="256"/>
      <c r="D93" s="256"/>
      <c r="E93" s="256"/>
      <c r="F93" s="257"/>
      <c r="G93" s="389"/>
      <c r="H93" s="389"/>
      <c r="I93" s="389"/>
      <c r="J93" s="256"/>
      <c r="K93" s="256"/>
      <c r="L93" s="256"/>
      <c r="M93" s="256"/>
      <c r="N93" s="256"/>
      <c r="O93" s="256"/>
      <c r="P93" s="256"/>
      <c r="Q93" s="256"/>
      <c r="R93" s="257" t="s">
        <v>384</v>
      </c>
      <c r="S93" s="587"/>
      <c r="T93" s="587"/>
      <c r="U93" s="587"/>
      <c r="V93" s="377"/>
      <c r="W93" s="281"/>
      <c r="X93" s="72"/>
      <c r="Y93" s="72"/>
      <c r="Z93" s="72"/>
      <c r="AA93" s="72"/>
      <c r="AB93" s="74"/>
      <c r="AC93" s="378"/>
      <c r="AD93" s="72"/>
      <c r="AE93" s="72"/>
      <c r="AF93" s="72"/>
      <c r="AG93" s="72"/>
    </row>
    <row r="94" spans="1:33" ht="5.25" customHeight="1" x14ac:dyDescent="0.25">
      <c r="A94" s="596"/>
      <c r="B94" s="599"/>
      <c r="C94" s="275"/>
      <c r="D94" s="275"/>
      <c r="E94" s="275"/>
      <c r="F94" s="278"/>
      <c r="G94" s="390"/>
      <c r="H94" s="390"/>
      <c r="I94" s="390"/>
      <c r="J94" s="275"/>
      <c r="K94" s="275"/>
      <c r="L94" s="275"/>
      <c r="M94" s="275"/>
      <c r="N94" s="275"/>
      <c r="O94" s="275"/>
      <c r="P94" s="275"/>
      <c r="Q94" s="275"/>
      <c r="R94" s="278"/>
      <c r="S94" s="390"/>
      <c r="T94" s="390"/>
      <c r="U94" s="390"/>
      <c r="V94" s="379"/>
      <c r="W94" s="319"/>
      <c r="X94" s="72"/>
      <c r="Y94" s="72"/>
      <c r="Z94" s="72"/>
      <c r="AA94" s="72"/>
      <c r="AB94" s="74"/>
      <c r="AC94" s="378"/>
      <c r="AD94" s="72"/>
      <c r="AE94" s="72"/>
      <c r="AF94" s="72"/>
      <c r="AG94" s="72"/>
    </row>
    <row r="95" spans="1:33" x14ac:dyDescent="0.25">
      <c r="A95" s="596"/>
      <c r="B95" s="597" t="s">
        <v>399</v>
      </c>
      <c r="C95" s="373"/>
      <c r="D95" s="373"/>
      <c r="E95" s="373"/>
      <c r="F95" s="373"/>
      <c r="G95" s="373"/>
      <c r="H95" s="373"/>
      <c r="I95" s="373"/>
      <c r="J95" s="373"/>
      <c r="K95" s="373"/>
      <c r="L95" s="373"/>
      <c r="M95" s="373"/>
      <c r="N95" s="373"/>
      <c r="O95" s="373"/>
      <c r="P95" s="373"/>
      <c r="Q95" s="373"/>
      <c r="R95" s="374" t="s">
        <v>387</v>
      </c>
      <c r="S95" s="586"/>
      <c r="T95" s="586"/>
      <c r="U95" s="586"/>
      <c r="V95" s="375"/>
      <c r="W95" s="376"/>
      <c r="X95" s="72"/>
      <c r="Y95" s="72"/>
      <c r="AB95" s="73"/>
      <c r="AC95" s="380"/>
    </row>
    <row r="96" spans="1:33" x14ac:dyDescent="0.25">
      <c r="A96" s="596"/>
      <c r="B96" s="598"/>
      <c r="C96" s="256"/>
      <c r="D96" s="256"/>
      <c r="E96" s="256"/>
      <c r="F96" s="257" t="s">
        <v>396</v>
      </c>
      <c r="G96" s="587"/>
      <c r="H96" s="587"/>
      <c r="I96" s="587"/>
      <c r="J96" s="256"/>
      <c r="K96" s="256"/>
      <c r="L96" s="256"/>
      <c r="M96" s="256"/>
      <c r="N96" s="256"/>
      <c r="O96" s="256"/>
      <c r="P96" s="256"/>
      <c r="Q96" s="256"/>
      <c r="R96" s="257" t="s">
        <v>386</v>
      </c>
      <c r="S96" s="587"/>
      <c r="T96" s="587"/>
      <c r="U96" s="587"/>
      <c r="V96" s="256"/>
      <c r="W96" s="281"/>
      <c r="X96" s="72"/>
      <c r="Y96" s="72"/>
      <c r="AB96" s="73"/>
      <c r="AC96" s="380"/>
    </row>
    <row r="97" spans="1:33" x14ac:dyDescent="0.25">
      <c r="A97" s="596"/>
      <c r="B97" s="598"/>
      <c r="C97" s="256"/>
      <c r="D97" s="256"/>
      <c r="E97" s="256"/>
      <c r="F97" s="257" t="s">
        <v>395</v>
      </c>
      <c r="G97" s="587"/>
      <c r="H97" s="587"/>
      <c r="I97" s="587"/>
      <c r="J97" s="256"/>
      <c r="K97" s="256"/>
      <c r="L97" s="256"/>
      <c r="M97" s="256"/>
      <c r="N97" s="256"/>
      <c r="O97" s="256"/>
      <c r="P97" s="256"/>
      <c r="Q97" s="256"/>
      <c r="R97" s="257" t="s">
        <v>394</v>
      </c>
      <c r="S97" s="587"/>
      <c r="T97" s="587"/>
      <c r="U97" s="587"/>
      <c r="V97" s="377"/>
      <c r="W97" s="281"/>
      <c r="X97" s="72"/>
      <c r="Y97" s="72"/>
      <c r="AB97" s="73"/>
      <c r="AC97" s="380"/>
      <c r="AD97" s="585"/>
      <c r="AE97" s="585"/>
      <c r="AF97" s="585"/>
    </row>
    <row r="98" spans="1:33" x14ac:dyDescent="0.25">
      <c r="A98" s="596"/>
      <c r="B98" s="598"/>
      <c r="C98" s="256"/>
      <c r="D98" s="256"/>
      <c r="E98" s="256"/>
      <c r="F98" s="257" t="s">
        <v>393</v>
      </c>
      <c r="G98" s="587"/>
      <c r="H98" s="587"/>
      <c r="I98" s="587"/>
      <c r="J98" s="256"/>
      <c r="K98" s="256"/>
      <c r="L98" s="256"/>
      <c r="M98" s="256"/>
      <c r="N98" s="256"/>
      <c r="O98" s="256"/>
      <c r="P98" s="256"/>
      <c r="Q98" s="256"/>
      <c r="R98" s="257" t="s">
        <v>591</v>
      </c>
      <c r="S98" s="587"/>
      <c r="T98" s="587"/>
      <c r="U98" s="587"/>
      <c r="V98" s="377"/>
      <c r="W98" s="281"/>
      <c r="X98" s="72"/>
      <c r="Y98" s="72"/>
      <c r="AB98" s="73"/>
      <c r="AC98" s="380"/>
      <c r="AD98" s="585"/>
      <c r="AE98" s="585"/>
      <c r="AF98" s="585"/>
    </row>
    <row r="99" spans="1:33" x14ac:dyDescent="0.25">
      <c r="A99" s="596"/>
      <c r="B99" s="598"/>
      <c r="C99" s="256"/>
      <c r="D99" s="256"/>
      <c r="E99" s="256"/>
      <c r="F99" s="257"/>
      <c r="G99" s="389"/>
      <c r="H99" s="389"/>
      <c r="I99" s="389"/>
      <c r="J99" s="256"/>
      <c r="K99" s="256"/>
      <c r="L99" s="256"/>
      <c r="M99" s="256"/>
      <c r="N99" s="256"/>
      <c r="O99" s="256"/>
      <c r="P99" s="256"/>
      <c r="Q99" s="256"/>
      <c r="R99" s="257" t="s">
        <v>384</v>
      </c>
      <c r="S99" s="587"/>
      <c r="T99" s="587"/>
      <c r="U99" s="587"/>
      <c r="V99" s="377"/>
      <c r="W99" s="281"/>
      <c r="X99" s="72"/>
      <c r="Y99" s="72"/>
      <c r="AB99" s="73"/>
      <c r="AC99" s="380"/>
      <c r="AD99" s="585"/>
      <c r="AE99" s="585"/>
      <c r="AF99" s="585"/>
    </row>
    <row r="100" spans="1:33" ht="6" customHeight="1" x14ac:dyDescent="0.25">
      <c r="A100" s="596"/>
      <c r="B100" s="599"/>
      <c r="C100" s="275"/>
      <c r="D100" s="275"/>
      <c r="E100" s="275"/>
      <c r="F100" s="278"/>
      <c r="G100" s="390"/>
      <c r="H100" s="390"/>
      <c r="I100" s="390"/>
      <c r="J100" s="275"/>
      <c r="K100" s="275"/>
      <c r="L100" s="275"/>
      <c r="M100" s="275"/>
      <c r="N100" s="275"/>
      <c r="O100" s="275"/>
      <c r="P100" s="275"/>
      <c r="Q100" s="275"/>
      <c r="R100" s="278"/>
      <c r="S100" s="390"/>
      <c r="T100" s="390"/>
      <c r="U100" s="390"/>
      <c r="V100" s="379"/>
      <c r="W100" s="319"/>
      <c r="X100" s="72"/>
      <c r="Y100" s="72"/>
      <c r="AB100" s="73"/>
      <c r="AC100" s="380"/>
    </row>
    <row r="101" spans="1:33" x14ac:dyDescent="0.25">
      <c r="A101" s="596"/>
      <c r="B101" s="597" t="s">
        <v>398</v>
      </c>
      <c r="C101" s="373"/>
      <c r="D101" s="373"/>
      <c r="E101" s="373"/>
      <c r="F101" s="373"/>
      <c r="G101" s="373"/>
      <c r="H101" s="373"/>
      <c r="I101" s="373"/>
      <c r="J101" s="373"/>
      <c r="K101" s="373"/>
      <c r="L101" s="373"/>
      <c r="M101" s="373"/>
      <c r="N101" s="373"/>
      <c r="O101" s="373"/>
      <c r="P101" s="373"/>
      <c r="Q101" s="373"/>
      <c r="R101" s="374" t="s">
        <v>387</v>
      </c>
      <c r="S101" s="586"/>
      <c r="T101" s="586"/>
      <c r="U101" s="586"/>
      <c r="V101" s="375"/>
      <c r="W101" s="376"/>
      <c r="X101" s="72"/>
      <c r="Y101" s="72"/>
      <c r="Z101" s="255"/>
      <c r="AA101" s="255"/>
      <c r="AB101" s="255"/>
      <c r="AC101" s="255"/>
      <c r="AD101" s="255"/>
      <c r="AE101" s="381"/>
      <c r="AF101" s="381"/>
    </row>
    <row r="102" spans="1:33" x14ac:dyDescent="0.25">
      <c r="A102" s="596"/>
      <c r="B102" s="598"/>
      <c r="C102" s="256"/>
      <c r="D102" s="256"/>
      <c r="E102" s="256"/>
      <c r="F102" s="257" t="s">
        <v>396</v>
      </c>
      <c r="G102" s="587"/>
      <c r="H102" s="587"/>
      <c r="I102" s="587"/>
      <c r="J102" s="256"/>
      <c r="K102" s="256"/>
      <c r="L102" s="256"/>
      <c r="M102" s="256"/>
      <c r="N102" s="256"/>
      <c r="O102" s="256"/>
      <c r="P102" s="256"/>
      <c r="Q102" s="256"/>
      <c r="R102" s="257" t="s">
        <v>386</v>
      </c>
      <c r="S102" s="587"/>
      <c r="T102" s="587"/>
      <c r="U102" s="587"/>
      <c r="V102" s="256"/>
      <c r="W102" s="281"/>
      <c r="X102" s="72"/>
      <c r="Y102" s="72"/>
      <c r="Z102" s="255"/>
      <c r="AA102" s="255"/>
      <c r="AB102" s="255"/>
      <c r="AC102" s="255"/>
      <c r="AD102" s="255"/>
      <c r="AE102" s="381"/>
      <c r="AF102" s="381"/>
    </row>
    <row r="103" spans="1:33" x14ac:dyDescent="0.25">
      <c r="A103" s="596"/>
      <c r="B103" s="598"/>
      <c r="C103" s="256"/>
      <c r="D103" s="256"/>
      <c r="E103" s="256"/>
      <c r="F103" s="257" t="s">
        <v>395</v>
      </c>
      <c r="G103" s="587"/>
      <c r="H103" s="587"/>
      <c r="I103" s="587"/>
      <c r="J103" s="256"/>
      <c r="K103" s="256"/>
      <c r="L103" s="256"/>
      <c r="M103" s="256"/>
      <c r="N103" s="256"/>
      <c r="O103" s="256"/>
      <c r="P103" s="256"/>
      <c r="Q103" s="256"/>
      <c r="R103" s="257" t="s">
        <v>394</v>
      </c>
      <c r="S103" s="587"/>
      <c r="T103" s="587"/>
      <c r="U103" s="587"/>
      <c r="V103" s="377"/>
      <c r="W103" s="281"/>
      <c r="X103" s="72"/>
      <c r="Y103" s="72"/>
      <c r="Z103" s="255"/>
      <c r="AA103" s="255"/>
      <c r="AB103" s="255"/>
      <c r="AC103" s="255"/>
      <c r="AD103" s="255"/>
      <c r="AE103" s="381"/>
      <c r="AF103" s="381"/>
    </row>
    <row r="104" spans="1:33" x14ac:dyDescent="0.25">
      <c r="A104" s="596"/>
      <c r="B104" s="598"/>
      <c r="C104" s="256"/>
      <c r="D104" s="256"/>
      <c r="E104" s="256"/>
      <c r="F104" s="257" t="s">
        <v>393</v>
      </c>
      <c r="G104" s="587"/>
      <c r="H104" s="587"/>
      <c r="I104" s="587"/>
      <c r="J104" s="256"/>
      <c r="K104" s="256"/>
      <c r="L104" s="256"/>
      <c r="M104" s="256"/>
      <c r="N104" s="256"/>
      <c r="O104" s="256"/>
      <c r="P104" s="256"/>
      <c r="Q104" s="256"/>
      <c r="R104" s="257" t="s">
        <v>591</v>
      </c>
      <c r="S104" s="587"/>
      <c r="T104" s="587"/>
      <c r="U104" s="587"/>
      <c r="V104" s="377"/>
      <c r="W104" s="281"/>
      <c r="X104" s="72"/>
      <c r="Y104" s="72"/>
      <c r="AB104" s="73"/>
      <c r="AC104" s="380"/>
      <c r="AD104" s="381"/>
      <c r="AE104" s="381"/>
      <c r="AF104" s="381"/>
    </row>
    <row r="105" spans="1:33" x14ac:dyDescent="0.25">
      <c r="A105" s="596"/>
      <c r="B105" s="598"/>
      <c r="C105" s="256"/>
      <c r="D105" s="256"/>
      <c r="E105" s="256"/>
      <c r="F105" s="257"/>
      <c r="G105" s="389"/>
      <c r="H105" s="389"/>
      <c r="I105" s="389"/>
      <c r="J105" s="256"/>
      <c r="K105" s="256"/>
      <c r="L105" s="256"/>
      <c r="M105" s="256"/>
      <c r="N105" s="256"/>
      <c r="O105" s="256"/>
      <c r="P105" s="256"/>
      <c r="Q105" s="256"/>
      <c r="R105" s="257" t="s">
        <v>384</v>
      </c>
      <c r="S105" s="587"/>
      <c r="T105" s="587"/>
      <c r="U105" s="587"/>
      <c r="V105" s="377"/>
      <c r="W105" s="281"/>
      <c r="X105" s="72"/>
      <c r="Y105" s="72"/>
      <c r="Z105" s="255"/>
      <c r="AA105" s="255"/>
      <c r="AB105" s="255"/>
      <c r="AC105" s="255"/>
      <c r="AD105" s="255"/>
      <c r="AE105" s="381"/>
      <c r="AF105" s="381"/>
    </row>
    <row r="106" spans="1:33" ht="6" customHeight="1" x14ac:dyDescent="0.25">
      <c r="A106" s="596"/>
      <c r="B106" s="599"/>
      <c r="C106" s="275"/>
      <c r="D106" s="275"/>
      <c r="E106" s="275"/>
      <c r="F106" s="278"/>
      <c r="G106" s="390"/>
      <c r="H106" s="390"/>
      <c r="I106" s="390"/>
      <c r="J106" s="275"/>
      <c r="K106" s="275"/>
      <c r="L106" s="275"/>
      <c r="M106" s="275"/>
      <c r="N106" s="275"/>
      <c r="O106" s="275"/>
      <c r="P106" s="275"/>
      <c r="Q106" s="275"/>
      <c r="R106" s="278"/>
      <c r="S106" s="390"/>
      <c r="T106" s="390"/>
      <c r="U106" s="390"/>
      <c r="V106" s="379"/>
      <c r="W106" s="319"/>
      <c r="X106" s="72"/>
      <c r="Y106" s="72"/>
      <c r="AB106" s="73"/>
      <c r="AC106" s="380"/>
    </row>
    <row r="107" spans="1:33" x14ac:dyDescent="0.25">
      <c r="A107" s="596"/>
      <c r="B107" s="597" t="s">
        <v>397</v>
      </c>
      <c r="C107" s="373"/>
      <c r="D107" s="373"/>
      <c r="E107" s="373"/>
      <c r="F107" s="373"/>
      <c r="G107" s="373"/>
      <c r="H107" s="373"/>
      <c r="I107" s="373"/>
      <c r="J107" s="373"/>
      <c r="K107" s="373"/>
      <c r="L107" s="373"/>
      <c r="M107" s="373"/>
      <c r="N107" s="373"/>
      <c r="O107" s="373"/>
      <c r="P107" s="373"/>
      <c r="Q107" s="373"/>
      <c r="R107" s="374" t="s">
        <v>387</v>
      </c>
      <c r="S107" s="586"/>
      <c r="T107" s="586"/>
      <c r="U107" s="586"/>
      <c r="V107" s="375"/>
      <c r="W107" s="376"/>
      <c r="X107" s="72"/>
      <c r="Y107" s="72"/>
      <c r="AB107" s="73"/>
      <c r="AC107" s="380"/>
    </row>
    <row r="108" spans="1:33" x14ac:dyDescent="0.25">
      <c r="A108" s="596"/>
      <c r="B108" s="598"/>
      <c r="C108" s="256"/>
      <c r="D108" s="256"/>
      <c r="E108" s="256"/>
      <c r="F108" s="257" t="s">
        <v>396</v>
      </c>
      <c r="G108" s="587"/>
      <c r="H108" s="587"/>
      <c r="I108" s="587"/>
      <c r="J108" s="256"/>
      <c r="K108" s="256"/>
      <c r="L108" s="256"/>
      <c r="M108" s="256"/>
      <c r="N108" s="256"/>
      <c r="O108" s="256"/>
      <c r="P108" s="256"/>
      <c r="Q108" s="256"/>
      <c r="R108" s="257" t="s">
        <v>386</v>
      </c>
      <c r="S108" s="587"/>
      <c r="T108" s="587"/>
      <c r="U108" s="587"/>
      <c r="V108" s="256"/>
      <c r="W108" s="281"/>
      <c r="X108" s="72"/>
      <c r="Y108" s="72"/>
      <c r="AB108" s="73"/>
      <c r="AC108" s="380"/>
    </row>
    <row r="109" spans="1:33" x14ac:dyDescent="0.25">
      <c r="A109" s="596"/>
      <c r="B109" s="598"/>
      <c r="C109" s="256"/>
      <c r="D109" s="256"/>
      <c r="E109" s="256"/>
      <c r="F109" s="257" t="s">
        <v>395</v>
      </c>
      <c r="G109" s="587"/>
      <c r="H109" s="587"/>
      <c r="I109" s="587"/>
      <c r="J109" s="256"/>
      <c r="K109" s="256"/>
      <c r="L109" s="256"/>
      <c r="M109" s="256"/>
      <c r="N109" s="256"/>
      <c r="O109" s="256"/>
      <c r="P109" s="256"/>
      <c r="Q109" s="256"/>
      <c r="R109" s="257" t="s">
        <v>394</v>
      </c>
      <c r="S109" s="587"/>
      <c r="T109" s="587"/>
      <c r="U109" s="587"/>
      <c r="V109" s="377"/>
      <c r="W109" s="281"/>
      <c r="X109" s="72"/>
      <c r="Y109" s="72"/>
      <c r="AB109" s="73"/>
      <c r="AC109" s="380"/>
    </row>
    <row r="110" spans="1:33" x14ac:dyDescent="0.25">
      <c r="A110" s="596"/>
      <c r="B110" s="598"/>
      <c r="C110" s="256"/>
      <c r="D110" s="256"/>
      <c r="E110" s="256"/>
      <c r="F110" s="257" t="s">
        <v>393</v>
      </c>
      <c r="G110" s="587"/>
      <c r="H110" s="587"/>
      <c r="I110" s="587"/>
      <c r="J110" s="256"/>
      <c r="K110" s="256"/>
      <c r="L110" s="256"/>
      <c r="M110" s="256"/>
      <c r="N110" s="256"/>
      <c r="O110" s="256"/>
      <c r="P110" s="256"/>
      <c r="Q110" s="256"/>
      <c r="R110" s="257" t="s">
        <v>591</v>
      </c>
      <c r="S110" s="587"/>
      <c r="T110" s="587"/>
      <c r="U110" s="587"/>
      <c r="V110" s="377"/>
      <c r="W110" s="281"/>
      <c r="X110" s="72"/>
      <c r="Y110" s="72"/>
      <c r="AB110" s="73"/>
      <c r="AC110" s="380"/>
    </row>
    <row r="111" spans="1:33" x14ac:dyDescent="0.25">
      <c r="A111" s="596"/>
      <c r="B111" s="598"/>
      <c r="C111" s="256"/>
      <c r="D111" s="256"/>
      <c r="E111" s="256"/>
      <c r="F111" s="257"/>
      <c r="G111" s="389"/>
      <c r="H111" s="389"/>
      <c r="I111" s="389"/>
      <c r="J111" s="256"/>
      <c r="K111" s="256"/>
      <c r="L111" s="256"/>
      <c r="M111" s="256"/>
      <c r="N111" s="256"/>
      <c r="O111" s="256"/>
      <c r="P111" s="256"/>
      <c r="Q111" s="256"/>
      <c r="R111" s="257" t="s">
        <v>384</v>
      </c>
      <c r="S111" s="587"/>
      <c r="T111" s="587"/>
      <c r="U111" s="587"/>
      <c r="V111" s="377"/>
      <c r="W111" s="281"/>
      <c r="X111" s="72"/>
      <c r="Y111" s="72"/>
      <c r="Z111" s="72"/>
      <c r="AA111" s="72"/>
      <c r="AB111" s="74"/>
      <c r="AC111" s="378"/>
      <c r="AD111" s="72"/>
      <c r="AE111" s="72"/>
      <c r="AF111" s="72"/>
      <c r="AG111" s="72"/>
    </row>
    <row r="112" spans="1:33" ht="6" customHeight="1" x14ac:dyDescent="0.25">
      <c r="A112" s="596"/>
      <c r="B112" s="599"/>
      <c r="C112" s="275"/>
      <c r="D112" s="275"/>
      <c r="E112" s="275"/>
      <c r="F112" s="278"/>
      <c r="G112" s="390"/>
      <c r="H112" s="390"/>
      <c r="I112" s="390"/>
      <c r="J112" s="275"/>
      <c r="K112" s="275"/>
      <c r="L112" s="275"/>
      <c r="M112" s="275"/>
      <c r="N112" s="275"/>
      <c r="O112" s="275"/>
      <c r="P112" s="275"/>
      <c r="Q112" s="275"/>
      <c r="R112" s="278"/>
      <c r="S112" s="390"/>
      <c r="T112" s="390"/>
      <c r="U112" s="390"/>
      <c r="V112" s="379"/>
      <c r="W112" s="319"/>
      <c r="X112" s="72"/>
      <c r="Y112" s="72"/>
      <c r="Z112" s="72"/>
      <c r="AA112" s="72"/>
      <c r="AB112" s="74"/>
      <c r="AC112" s="378"/>
      <c r="AD112" s="72"/>
      <c r="AE112" s="72"/>
      <c r="AF112" s="72"/>
      <c r="AG112" s="72"/>
    </row>
    <row r="113" spans="1:33" ht="15" customHeight="1" x14ac:dyDescent="0.25">
      <c r="A113" s="665" t="s">
        <v>392</v>
      </c>
      <c r="B113" s="665"/>
      <c r="C113" s="667">
        <f>'E Calc'!D60</f>
        <v>0</v>
      </c>
      <c r="D113" s="667"/>
      <c r="E113" s="665" t="s">
        <v>391</v>
      </c>
      <c r="F113" s="667" t="str">
        <f>IFERROR(E36/'E Calc'!K41,"")</f>
        <v/>
      </c>
      <c r="G113" s="667"/>
      <c r="H113" s="665" t="s">
        <v>390</v>
      </c>
      <c r="I113" s="665"/>
      <c r="J113" s="688" t="str">
        <f>IFERROR('E Calc'!D63,"Incomplete")</f>
        <v>Incomplete</v>
      </c>
      <c r="K113" s="688"/>
      <c r="L113" s="688"/>
      <c r="M113" s="665" t="s">
        <v>389</v>
      </c>
      <c r="N113" s="665"/>
      <c r="O113" s="665"/>
      <c r="P113" s="692" t="str">
        <f>IFERROR('E Calc'!D64,"")</f>
        <v/>
      </c>
      <c r="Q113" s="692"/>
      <c r="R113" s="677"/>
      <c r="S113" s="690" t="s">
        <v>388</v>
      </c>
      <c r="T113" s="690"/>
      <c r="U113" s="679">
        <f>IFERROR((AC113+AC114+AC115)/(SUM(X47:X53)),0)</f>
        <v>0</v>
      </c>
      <c r="V113" s="679"/>
      <c r="W113" s="680"/>
      <c r="X113" s="72"/>
      <c r="Y113" s="71" t="s">
        <v>387</v>
      </c>
      <c r="AA113" s="73"/>
      <c r="AB113" s="380"/>
      <c r="AC113" s="381">
        <f>S89+S95+S101+S107</f>
        <v>0</v>
      </c>
      <c r="AD113" s="72"/>
      <c r="AE113" s="72"/>
      <c r="AF113" s="72"/>
      <c r="AG113" s="72"/>
    </row>
    <row r="114" spans="1:33" x14ac:dyDescent="0.25">
      <c r="A114" s="666"/>
      <c r="B114" s="666"/>
      <c r="C114" s="668"/>
      <c r="D114" s="668"/>
      <c r="E114" s="666"/>
      <c r="F114" s="668"/>
      <c r="G114" s="668"/>
      <c r="H114" s="666"/>
      <c r="I114" s="666"/>
      <c r="J114" s="689"/>
      <c r="K114" s="689"/>
      <c r="L114" s="689"/>
      <c r="M114" s="666"/>
      <c r="N114" s="666"/>
      <c r="O114" s="666"/>
      <c r="P114" s="693"/>
      <c r="Q114" s="693"/>
      <c r="R114" s="678"/>
      <c r="S114" s="691"/>
      <c r="T114" s="691"/>
      <c r="U114" s="681"/>
      <c r="V114" s="681"/>
      <c r="W114" s="682"/>
      <c r="X114" s="72"/>
      <c r="Y114" s="71" t="s">
        <v>582</v>
      </c>
      <c r="AA114" s="73"/>
      <c r="AB114" s="380"/>
      <c r="AC114" s="381">
        <f>(G90+G96+G102+G108)*12</f>
        <v>0</v>
      </c>
      <c r="AD114" s="72"/>
      <c r="AE114" s="72"/>
      <c r="AF114" s="72"/>
      <c r="AG114" s="72"/>
    </row>
    <row r="115" spans="1:33" x14ac:dyDescent="0.25">
      <c r="A115" s="628" t="s">
        <v>385</v>
      </c>
      <c r="B115" s="655"/>
      <c r="C115" s="656"/>
      <c r="D115" s="656"/>
      <c r="E115" s="656"/>
      <c r="F115" s="656"/>
      <c r="G115" s="656"/>
      <c r="H115" s="656"/>
      <c r="I115" s="656"/>
      <c r="J115" s="656"/>
      <c r="K115" s="656"/>
      <c r="L115" s="656"/>
      <c r="M115" s="656"/>
      <c r="N115" s="656"/>
      <c r="O115" s="656"/>
      <c r="P115" s="656"/>
      <c r="Q115" s="656"/>
      <c r="R115" s="656"/>
      <c r="S115" s="656"/>
      <c r="T115" s="656"/>
      <c r="U115" s="656"/>
      <c r="V115" s="656"/>
      <c r="W115" s="657"/>
      <c r="X115" s="72"/>
      <c r="Y115" s="71" t="s">
        <v>590</v>
      </c>
      <c r="AA115" s="73"/>
      <c r="AB115" s="380"/>
      <c r="AC115" s="381">
        <f>((S92+S98+S104+S110)+IF(S87&lt;&gt;"Self Supporting",I87,0))*12</f>
        <v>0</v>
      </c>
      <c r="AD115" s="72"/>
      <c r="AE115" s="72"/>
      <c r="AF115" s="72"/>
      <c r="AG115" s="72"/>
    </row>
    <row r="116" spans="1:33" ht="6" customHeight="1" x14ac:dyDescent="0.25">
      <c r="A116" s="628"/>
      <c r="B116" s="658"/>
      <c r="C116" s="658"/>
      <c r="D116" s="658"/>
      <c r="E116" s="658"/>
      <c r="F116" s="658"/>
      <c r="G116" s="658"/>
      <c r="H116" s="658"/>
      <c r="I116" s="658"/>
      <c r="J116" s="658"/>
      <c r="K116" s="658"/>
      <c r="L116" s="658"/>
      <c r="M116" s="658"/>
      <c r="N116" s="658"/>
      <c r="O116" s="658"/>
      <c r="P116" s="658"/>
      <c r="Q116" s="658"/>
      <c r="R116" s="658"/>
      <c r="S116" s="658"/>
      <c r="T116" s="658"/>
      <c r="U116" s="658"/>
      <c r="V116" s="658"/>
      <c r="W116" s="659"/>
      <c r="X116" s="72"/>
      <c r="Y116" s="72"/>
      <c r="Z116" s="72"/>
      <c r="AA116" s="72"/>
      <c r="AB116" s="72"/>
      <c r="AC116" s="72"/>
      <c r="AD116" s="72"/>
      <c r="AE116" s="72"/>
      <c r="AF116" s="72"/>
      <c r="AG116" s="72"/>
    </row>
    <row r="117" spans="1:33" x14ac:dyDescent="0.25">
      <c r="A117" s="628"/>
      <c r="B117" s="658"/>
      <c r="C117" s="658"/>
      <c r="D117" s="658"/>
      <c r="E117" s="658"/>
      <c r="F117" s="658"/>
      <c r="G117" s="658"/>
      <c r="H117" s="658"/>
      <c r="I117" s="658"/>
      <c r="J117" s="658"/>
      <c r="K117" s="658"/>
      <c r="L117" s="658"/>
      <c r="M117" s="658"/>
      <c r="N117" s="658"/>
      <c r="O117" s="658"/>
      <c r="P117" s="658"/>
      <c r="Q117" s="658"/>
      <c r="R117" s="658"/>
      <c r="S117" s="658"/>
      <c r="T117" s="658"/>
      <c r="U117" s="658"/>
      <c r="V117" s="658"/>
      <c r="W117" s="659"/>
      <c r="X117" s="72"/>
      <c r="Y117" s="72"/>
      <c r="Z117" s="72"/>
      <c r="AA117" s="72"/>
      <c r="AB117" s="72"/>
      <c r="AC117" s="72"/>
      <c r="AD117" s="72"/>
      <c r="AE117" s="72"/>
      <c r="AF117" s="72"/>
      <c r="AG117" s="72"/>
    </row>
    <row r="118" spans="1:33" x14ac:dyDescent="0.25">
      <c r="A118" s="628"/>
      <c r="B118" s="658"/>
      <c r="C118" s="658"/>
      <c r="D118" s="658"/>
      <c r="E118" s="658"/>
      <c r="F118" s="658"/>
      <c r="G118" s="658"/>
      <c r="H118" s="658"/>
      <c r="I118" s="658"/>
      <c r="J118" s="658"/>
      <c r="K118" s="658"/>
      <c r="L118" s="658"/>
      <c r="M118" s="658"/>
      <c r="N118" s="658"/>
      <c r="O118" s="658"/>
      <c r="P118" s="658"/>
      <c r="Q118" s="658"/>
      <c r="R118" s="658"/>
      <c r="S118" s="658"/>
      <c r="T118" s="658"/>
      <c r="U118" s="658"/>
      <c r="V118" s="658"/>
      <c r="W118" s="659"/>
      <c r="X118" s="72"/>
      <c r="Y118" s="72"/>
      <c r="Z118" s="72"/>
      <c r="AA118" s="72"/>
      <c r="AB118" s="72"/>
      <c r="AC118" s="72"/>
      <c r="AD118" s="72"/>
      <c r="AE118" s="72"/>
      <c r="AG118" s="72"/>
    </row>
    <row r="119" spans="1:33" ht="38.25" customHeight="1" x14ac:dyDescent="0.25">
      <c r="A119" s="628"/>
      <c r="B119" s="660"/>
      <c r="C119" s="660"/>
      <c r="D119" s="660"/>
      <c r="E119" s="660"/>
      <c r="F119" s="660"/>
      <c r="G119" s="660"/>
      <c r="H119" s="660"/>
      <c r="I119" s="660"/>
      <c r="J119" s="660"/>
      <c r="K119" s="660"/>
      <c r="L119" s="660"/>
      <c r="M119" s="660"/>
      <c r="N119" s="660"/>
      <c r="O119" s="660"/>
      <c r="P119" s="660"/>
      <c r="Q119" s="660"/>
      <c r="R119" s="660"/>
      <c r="S119" s="660"/>
      <c r="T119" s="660"/>
      <c r="U119" s="660"/>
      <c r="V119" s="660"/>
      <c r="W119" s="661"/>
      <c r="X119" s="72"/>
      <c r="Y119" s="72"/>
      <c r="Z119" s="72"/>
      <c r="AA119" s="72"/>
      <c r="AB119" s="72"/>
      <c r="AC119" s="72"/>
      <c r="AD119" s="72"/>
      <c r="AE119" s="72"/>
      <c r="AF119" s="72"/>
      <c r="AG119" s="72"/>
    </row>
    <row r="120" spans="1:33" x14ac:dyDescent="0.25">
      <c r="A120" s="382"/>
      <c r="B120" s="383" t="s">
        <v>383</v>
      </c>
      <c r="C120" s="384"/>
      <c r="D120" s="384"/>
      <c r="E120" s="384"/>
      <c r="F120" s="384"/>
      <c r="G120" s="384"/>
      <c r="H120" s="385" t="s">
        <v>382</v>
      </c>
      <c r="I120" s="384"/>
      <c r="J120" s="675"/>
      <c r="K120" s="676"/>
      <c r="L120" s="676"/>
      <c r="M120" s="676"/>
      <c r="N120" s="676"/>
      <c r="O120" s="676"/>
      <c r="P120" s="676"/>
      <c r="Q120" s="676"/>
      <c r="R120" s="676"/>
      <c r="S120" s="384"/>
      <c r="T120" s="386" t="s">
        <v>381</v>
      </c>
      <c r="U120" s="662"/>
      <c r="V120" s="663"/>
      <c r="W120" s="664"/>
    </row>
    <row r="121" spans="1:33" x14ac:dyDescent="0.25">
      <c r="A121" s="648"/>
      <c r="B121" s="649"/>
      <c r="C121" s="649"/>
      <c r="D121" s="649"/>
      <c r="E121" s="649"/>
      <c r="F121" s="649"/>
      <c r="G121" s="649"/>
      <c r="H121" s="649"/>
      <c r="I121" s="649"/>
      <c r="J121" s="649"/>
      <c r="K121" s="649"/>
      <c r="L121" s="649"/>
      <c r="M121" s="649"/>
      <c r="N121" s="649"/>
      <c r="O121" s="649"/>
      <c r="P121" s="649"/>
      <c r="Q121" s="649"/>
      <c r="R121" s="649"/>
      <c r="S121" s="649"/>
      <c r="T121" s="649"/>
      <c r="U121" s="649"/>
      <c r="V121" s="649"/>
      <c r="W121" s="650"/>
    </row>
    <row r="122" spans="1:33" x14ac:dyDescent="0.25">
      <c r="A122" s="651"/>
      <c r="B122" s="651"/>
      <c r="C122" s="651"/>
      <c r="D122" s="651"/>
      <c r="E122" s="651"/>
      <c r="F122" s="651"/>
      <c r="G122" s="651"/>
      <c r="H122" s="651"/>
      <c r="I122" s="651"/>
      <c r="J122" s="651"/>
      <c r="K122" s="651"/>
      <c r="L122" s="651"/>
      <c r="M122" s="651"/>
      <c r="N122" s="651"/>
      <c r="O122" s="651"/>
      <c r="P122" s="651"/>
      <c r="Q122" s="651"/>
      <c r="R122" s="651"/>
      <c r="S122" s="651"/>
      <c r="T122" s="651"/>
      <c r="U122" s="651"/>
      <c r="V122" s="651"/>
      <c r="W122" s="652"/>
    </row>
    <row r="123" spans="1:33" x14ac:dyDescent="0.25">
      <c r="A123" s="651"/>
      <c r="B123" s="651"/>
      <c r="C123" s="651"/>
      <c r="D123" s="651"/>
      <c r="E123" s="651"/>
      <c r="F123" s="651"/>
      <c r="G123" s="651"/>
      <c r="H123" s="651"/>
      <c r="I123" s="651"/>
      <c r="J123" s="651"/>
      <c r="K123" s="651"/>
      <c r="L123" s="651"/>
      <c r="M123" s="651"/>
      <c r="N123" s="651"/>
      <c r="O123" s="651"/>
      <c r="P123" s="651"/>
      <c r="Q123" s="651"/>
      <c r="R123" s="651"/>
      <c r="S123" s="651"/>
      <c r="T123" s="651"/>
      <c r="U123" s="651"/>
      <c r="V123" s="651"/>
      <c r="W123" s="652"/>
    </row>
    <row r="124" spans="1:33" x14ac:dyDescent="0.25">
      <c r="A124" s="653"/>
      <c r="B124" s="653"/>
      <c r="C124" s="653"/>
      <c r="D124" s="653"/>
      <c r="E124" s="653"/>
      <c r="F124" s="653"/>
      <c r="G124" s="653"/>
      <c r="H124" s="653"/>
      <c r="I124" s="653"/>
      <c r="J124" s="653"/>
      <c r="K124" s="653"/>
      <c r="L124" s="653"/>
      <c r="M124" s="653"/>
      <c r="N124" s="653"/>
      <c r="O124" s="653"/>
      <c r="P124" s="653"/>
      <c r="Q124" s="653"/>
      <c r="R124" s="653"/>
      <c r="S124" s="653"/>
      <c r="T124" s="653"/>
      <c r="U124" s="653"/>
      <c r="V124" s="653"/>
      <c r="W124" s="654"/>
      <c r="AC124" s="72" t="s">
        <v>380</v>
      </c>
    </row>
    <row r="125" spans="1:33" x14ac:dyDescent="0.25">
      <c r="Y125" s="72" t="s">
        <v>379</v>
      </c>
      <c r="AA125" s="72" t="s">
        <v>352</v>
      </c>
      <c r="AC125" s="72" t="s">
        <v>378</v>
      </c>
    </row>
    <row r="126" spans="1:33" s="71" customFormat="1" x14ac:dyDescent="0.25">
      <c r="A126" s="388"/>
      <c r="Y126" s="72" t="s">
        <v>377</v>
      </c>
      <c r="AA126" s="72" t="s">
        <v>358</v>
      </c>
    </row>
    <row r="127" spans="1:33" s="71" customFormat="1" x14ac:dyDescent="0.25">
      <c r="A127" s="388"/>
      <c r="Y127" s="72" t="s">
        <v>376</v>
      </c>
    </row>
    <row r="128" spans="1:33" s="71" customFormat="1" x14ac:dyDescent="0.25">
      <c r="A128" s="388"/>
      <c r="Y128" s="72" t="s">
        <v>375</v>
      </c>
    </row>
    <row r="129" spans="1:1" s="71" customFormat="1" x14ac:dyDescent="0.25">
      <c r="A129" s="388"/>
    </row>
    <row r="130" spans="1:1" s="71" customFormat="1" x14ac:dyDescent="0.25">
      <c r="A130" s="388"/>
    </row>
    <row r="131" spans="1:1" s="71" customFormat="1" x14ac:dyDescent="0.25">
      <c r="A131" s="388"/>
    </row>
    <row r="132" spans="1:1" s="71" customFormat="1" x14ac:dyDescent="0.25">
      <c r="A132" s="388"/>
    </row>
    <row r="133" spans="1:1" s="71" customFormat="1" x14ac:dyDescent="0.25">
      <c r="A133" s="388"/>
    </row>
    <row r="134" spans="1:1" s="71" customFormat="1" x14ac:dyDescent="0.25">
      <c r="A134" s="388"/>
    </row>
    <row r="135" spans="1:1" s="71" customFormat="1" x14ac:dyDescent="0.25">
      <c r="A135" s="388"/>
    </row>
    <row r="136" spans="1:1" s="71" customFormat="1" x14ac:dyDescent="0.25">
      <c r="A136" s="388"/>
    </row>
    <row r="137" spans="1:1" s="71" customFormat="1" x14ac:dyDescent="0.25">
      <c r="A137" s="388"/>
    </row>
    <row r="138" spans="1:1" s="71" customFormat="1" x14ac:dyDescent="0.25">
      <c r="A138" s="388"/>
    </row>
    <row r="139" spans="1:1" s="71" customFormat="1" x14ac:dyDescent="0.25">
      <c r="A139" s="388"/>
    </row>
    <row r="140" spans="1:1" s="71" customFormat="1" x14ac:dyDescent="0.25">
      <c r="A140" s="388"/>
    </row>
    <row r="141" spans="1:1" s="71" customFormat="1" x14ac:dyDescent="0.25">
      <c r="A141" s="388"/>
    </row>
    <row r="142" spans="1:1" s="71" customFormat="1" x14ac:dyDescent="0.25">
      <c r="A142" s="388"/>
    </row>
    <row r="143" spans="1:1" s="71" customFormat="1" x14ac:dyDescent="0.25">
      <c r="A143" s="388"/>
    </row>
    <row r="144" spans="1:1" s="71" customFormat="1" x14ac:dyDescent="0.25">
      <c r="A144" s="388"/>
    </row>
    <row r="145" spans="1:1" s="71" customFormat="1" x14ac:dyDescent="0.25">
      <c r="A145" s="388"/>
    </row>
    <row r="146" spans="1:1" s="71" customFormat="1" x14ac:dyDescent="0.25">
      <c r="A146" s="388"/>
    </row>
    <row r="147" spans="1:1" s="71" customFormat="1" x14ac:dyDescent="0.25">
      <c r="A147" s="388"/>
    </row>
    <row r="148" spans="1:1" s="71" customFormat="1" x14ac:dyDescent="0.25">
      <c r="A148" s="388"/>
    </row>
    <row r="149" spans="1:1" s="71" customFormat="1" x14ac:dyDescent="0.25">
      <c r="A149" s="388"/>
    </row>
    <row r="150" spans="1:1" s="71" customFormat="1" x14ac:dyDescent="0.25">
      <c r="A150" s="388"/>
    </row>
    <row r="151" spans="1:1" s="71" customFormat="1" x14ac:dyDescent="0.25">
      <c r="A151" s="388"/>
    </row>
    <row r="152" spans="1:1" s="71" customFormat="1" x14ac:dyDescent="0.25">
      <c r="A152" s="388"/>
    </row>
    <row r="153" spans="1:1" s="71" customFormat="1" x14ac:dyDescent="0.25">
      <c r="A153" s="388"/>
    </row>
    <row r="154" spans="1:1" s="71" customFormat="1" x14ac:dyDescent="0.25">
      <c r="A154" s="388"/>
    </row>
    <row r="155" spans="1:1" s="71" customFormat="1" x14ac:dyDescent="0.25">
      <c r="A155" s="388"/>
    </row>
    <row r="156" spans="1:1" s="71" customFormat="1" x14ac:dyDescent="0.25">
      <c r="A156" s="388"/>
    </row>
    <row r="157" spans="1:1" s="71" customFormat="1" x14ac:dyDescent="0.25">
      <c r="A157" s="388"/>
    </row>
    <row r="158" spans="1:1" s="71" customFormat="1" x14ac:dyDescent="0.25">
      <c r="A158" s="388"/>
    </row>
    <row r="159" spans="1:1" s="71" customFormat="1" x14ac:dyDescent="0.25">
      <c r="A159" s="388"/>
    </row>
    <row r="160" spans="1:1" s="71" customFormat="1" x14ac:dyDescent="0.25">
      <c r="A160" s="388"/>
    </row>
    <row r="161" spans="1:1" s="71" customFormat="1" x14ac:dyDescent="0.25">
      <c r="A161" s="388"/>
    </row>
    <row r="162" spans="1:1" s="71" customFormat="1" x14ac:dyDescent="0.25">
      <c r="A162" s="388"/>
    </row>
    <row r="163" spans="1:1" s="71" customFormat="1" x14ac:dyDescent="0.25">
      <c r="A163" s="388"/>
    </row>
    <row r="164" spans="1:1" s="71" customFormat="1" x14ac:dyDescent="0.25">
      <c r="A164" s="388"/>
    </row>
    <row r="165" spans="1:1" s="71" customFormat="1" x14ac:dyDescent="0.25">
      <c r="A165" s="388"/>
    </row>
    <row r="166" spans="1:1" s="71" customFormat="1" x14ac:dyDescent="0.25">
      <c r="A166" s="388"/>
    </row>
    <row r="167" spans="1:1" s="71" customFormat="1" x14ac:dyDescent="0.25">
      <c r="A167" s="388"/>
    </row>
    <row r="168" spans="1:1" s="71" customFormat="1" x14ac:dyDescent="0.25">
      <c r="A168" s="388"/>
    </row>
    <row r="169" spans="1:1" s="71" customFormat="1" x14ac:dyDescent="0.25">
      <c r="A169" s="388"/>
    </row>
    <row r="170" spans="1:1" s="71" customFormat="1" x14ac:dyDescent="0.25">
      <c r="A170" s="388"/>
    </row>
    <row r="171" spans="1:1" s="71" customFormat="1" x14ac:dyDescent="0.25">
      <c r="A171" s="388"/>
    </row>
    <row r="172" spans="1:1" s="71" customFormat="1" x14ac:dyDescent="0.25">
      <c r="A172" s="388"/>
    </row>
    <row r="173" spans="1:1" s="71" customFormat="1" x14ac:dyDescent="0.25">
      <c r="A173" s="388"/>
    </row>
    <row r="174" spans="1:1" s="71" customFormat="1" x14ac:dyDescent="0.25">
      <c r="A174" s="388"/>
    </row>
    <row r="175" spans="1:1" s="71" customFormat="1" x14ac:dyDescent="0.25">
      <c r="A175" s="388"/>
    </row>
    <row r="176" spans="1:1" s="71" customFormat="1" x14ac:dyDescent="0.25">
      <c r="A176" s="388"/>
    </row>
    <row r="177" spans="1:1" s="71" customFormat="1" x14ac:dyDescent="0.25">
      <c r="A177" s="388"/>
    </row>
    <row r="178" spans="1:1" s="71" customFormat="1" x14ac:dyDescent="0.25">
      <c r="A178" s="388"/>
    </row>
    <row r="179" spans="1:1" s="71" customFormat="1" x14ac:dyDescent="0.25">
      <c r="A179" s="388"/>
    </row>
    <row r="180" spans="1:1" s="71" customFormat="1" x14ac:dyDescent="0.25">
      <c r="A180" s="388"/>
    </row>
    <row r="181" spans="1:1" s="71" customFormat="1" x14ac:dyDescent="0.25">
      <c r="A181" s="388"/>
    </row>
    <row r="182" spans="1:1" s="71" customFormat="1" x14ac:dyDescent="0.25">
      <c r="A182" s="388"/>
    </row>
    <row r="183" spans="1:1" s="71" customFormat="1" x14ac:dyDescent="0.25">
      <c r="A183" s="388"/>
    </row>
    <row r="184" spans="1:1" s="71" customFormat="1" x14ac:dyDescent="0.25">
      <c r="A184" s="388"/>
    </row>
    <row r="185" spans="1:1" s="71" customFormat="1" x14ac:dyDescent="0.25">
      <c r="A185" s="388"/>
    </row>
    <row r="186" spans="1:1" s="71" customFormat="1" x14ac:dyDescent="0.25">
      <c r="A186" s="388"/>
    </row>
    <row r="187" spans="1:1" s="71" customFormat="1" x14ac:dyDescent="0.25">
      <c r="A187" s="388"/>
    </row>
    <row r="188" spans="1:1" s="71" customFormat="1" x14ac:dyDescent="0.25">
      <c r="A188" s="388"/>
    </row>
    <row r="189" spans="1:1" s="71" customFormat="1" x14ac:dyDescent="0.25">
      <c r="A189" s="388"/>
    </row>
    <row r="190" spans="1:1" s="71" customFormat="1" x14ac:dyDescent="0.25">
      <c r="A190" s="388"/>
    </row>
    <row r="191" spans="1:1" s="71" customFormat="1" x14ac:dyDescent="0.25">
      <c r="A191" s="388"/>
    </row>
    <row r="192" spans="1:1" s="71" customFormat="1" x14ac:dyDescent="0.25">
      <c r="A192" s="388"/>
    </row>
    <row r="193" spans="1:1" s="71" customFormat="1" x14ac:dyDescent="0.25">
      <c r="A193" s="388"/>
    </row>
    <row r="194" spans="1:1" s="71" customFormat="1" x14ac:dyDescent="0.25">
      <c r="A194" s="388"/>
    </row>
    <row r="195" spans="1:1" s="71" customFormat="1" x14ac:dyDescent="0.25">
      <c r="A195" s="388"/>
    </row>
    <row r="196" spans="1:1" s="71" customFormat="1" x14ac:dyDescent="0.25">
      <c r="A196" s="388"/>
    </row>
    <row r="197" spans="1:1" s="71" customFormat="1" x14ac:dyDescent="0.25">
      <c r="A197" s="388"/>
    </row>
    <row r="198" spans="1:1" s="71" customFormat="1" x14ac:dyDescent="0.25">
      <c r="A198" s="388"/>
    </row>
    <row r="199" spans="1:1" s="71" customFormat="1" x14ac:dyDescent="0.25">
      <c r="A199" s="388"/>
    </row>
    <row r="200" spans="1:1" s="71" customFormat="1" x14ac:dyDescent="0.25">
      <c r="A200" s="388"/>
    </row>
    <row r="201" spans="1:1" s="71" customFormat="1" x14ac:dyDescent="0.25">
      <c r="A201" s="388"/>
    </row>
    <row r="202" spans="1:1" s="71" customFormat="1" x14ac:dyDescent="0.25">
      <c r="A202" s="388"/>
    </row>
    <row r="203" spans="1:1" s="71" customFormat="1" x14ac:dyDescent="0.25">
      <c r="A203" s="388"/>
    </row>
    <row r="204" spans="1:1" s="71" customFormat="1" x14ac:dyDescent="0.25">
      <c r="A204" s="388"/>
    </row>
    <row r="205" spans="1:1" s="71" customFormat="1" x14ac:dyDescent="0.25">
      <c r="A205" s="388"/>
    </row>
    <row r="206" spans="1:1" s="71" customFormat="1" x14ac:dyDescent="0.25">
      <c r="A206" s="388"/>
    </row>
    <row r="207" spans="1:1" s="71" customFormat="1" x14ac:dyDescent="0.25">
      <c r="A207" s="388"/>
    </row>
    <row r="208" spans="1:1" s="71" customFormat="1" x14ac:dyDescent="0.25">
      <c r="A208" s="388"/>
    </row>
    <row r="209" spans="1:1" s="71" customFormat="1" x14ac:dyDescent="0.25">
      <c r="A209" s="388"/>
    </row>
    <row r="210" spans="1:1" s="71" customFormat="1" x14ac:dyDescent="0.25">
      <c r="A210" s="388"/>
    </row>
    <row r="211" spans="1:1" s="71" customFormat="1" x14ac:dyDescent="0.25">
      <c r="A211" s="388"/>
    </row>
    <row r="212" spans="1:1" s="71" customFormat="1" x14ac:dyDescent="0.25">
      <c r="A212" s="388"/>
    </row>
    <row r="213" spans="1:1" s="71" customFormat="1" x14ac:dyDescent="0.25">
      <c r="A213" s="388"/>
    </row>
    <row r="214" spans="1:1" s="71" customFormat="1" x14ac:dyDescent="0.25">
      <c r="A214" s="388"/>
    </row>
    <row r="215" spans="1:1" s="71" customFormat="1" x14ac:dyDescent="0.25">
      <c r="A215" s="388"/>
    </row>
    <row r="216" spans="1:1" s="71" customFormat="1" x14ac:dyDescent="0.25">
      <c r="A216" s="388"/>
    </row>
    <row r="217" spans="1:1" s="71" customFormat="1" x14ac:dyDescent="0.25">
      <c r="A217" s="388"/>
    </row>
    <row r="218" spans="1:1" s="71" customFormat="1" x14ac:dyDescent="0.25">
      <c r="A218" s="388"/>
    </row>
    <row r="219" spans="1:1" s="71" customFormat="1" x14ac:dyDescent="0.25">
      <c r="A219" s="388"/>
    </row>
    <row r="220" spans="1:1" s="71" customFormat="1" x14ac:dyDescent="0.25">
      <c r="A220" s="388"/>
    </row>
    <row r="221" spans="1:1" s="71" customFormat="1" x14ac:dyDescent="0.25">
      <c r="A221" s="388"/>
    </row>
    <row r="222" spans="1:1" s="71" customFormat="1" x14ac:dyDescent="0.25">
      <c r="A222" s="388"/>
    </row>
    <row r="223" spans="1:1" s="71" customFormat="1" x14ac:dyDescent="0.25">
      <c r="A223" s="388"/>
    </row>
    <row r="224" spans="1:1" s="71" customFormat="1" x14ac:dyDescent="0.25">
      <c r="A224" s="388"/>
    </row>
    <row r="225" spans="1:1" s="71" customFormat="1" x14ac:dyDescent="0.25">
      <c r="A225" s="388"/>
    </row>
    <row r="226" spans="1:1" s="71" customFormat="1" x14ac:dyDescent="0.25">
      <c r="A226" s="388"/>
    </row>
    <row r="227" spans="1:1" s="71" customFormat="1" x14ac:dyDescent="0.25">
      <c r="A227" s="388"/>
    </row>
    <row r="228" spans="1:1" s="71" customFormat="1" x14ac:dyDescent="0.25">
      <c r="A228" s="388"/>
    </row>
    <row r="229" spans="1:1" s="71" customFormat="1" x14ac:dyDescent="0.25">
      <c r="A229" s="388"/>
    </row>
    <row r="230" spans="1:1" s="71" customFormat="1" x14ac:dyDescent="0.25">
      <c r="A230" s="388"/>
    </row>
    <row r="231" spans="1:1" s="71" customFormat="1" x14ac:dyDescent="0.25">
      <c r="A231" s="388"/>
    </row>
    <row r="232" spans="1:1" s="71" customFormat="1" x14ac:dyDescent="0.25">
      <c r="A232" s="388"/>
    </row>
    <row r="233" spans="1:1" s="71" customFormat="1" x14ac:dyDescent="0.25">
      <c r="A233" s="388"/>
    </row>
    <row r="234" spans="1:1" s="71" customFormat="1" x14ac:dyDescent="0.25">
      <c r="A234" s="388"/>
    </row>
    <row r="235" spans="1:1" s="71" customFormat="1" x14ac:dyDescent="0.25">
      <c r="A235" s="388"/>
    </row>
    <row r="236" spans="1:1" s="71" customFormat="1" x14ac:dyDescent="0.25">
      <c r="A236" s="388"/>
    </row>
    <row r="237" spans="1:1" s="71" customFormat="1" x14ac:dyDescent="0.25">
      <c r="A237" s="388"/>
    </row>
    <row r="238" spans="1:1" s="71" customFormat="1" x14ac:dyDescent="0.25">
      <c r="A238" s="388"/>
    </row>
    <row r="239" spans="1:1" s="71" customFormat="1" x14ac:dyDescent="0.25">
      <c r="A239" s="388"/>
    </row>
    <row r="240" spans="1:1" s="71" customFormat="1" x14ac:dyDescent="0.25">
      <c r="A240" s="388"/>
    </row>
    <row r="241" spans="1:1" s="71" customFormat="1" x14ac:dyDescent="0.25">
      <c r="A241" s="388"/>
    </row>
    <row r="242" spans="1:1" s="71" customFormat="1" x14ac:dyDescent="0.25">
      <c r="A242" s="388"/>
    </row>
    <row r="243" spans="1:1" s="71" customFormat="1" x14ac:dyDescent="0.25">
      <c r="A243" s="388"/>
    </row>
    <row r="244" spans="1:1" s="71" customFormat="1" x14ac:dyDescent="0.25">
      <c r="A244" s="388"/>
    </row>
    <row r="245" spans="1:1" s="71" customFormat="1" x14ac:dyDescent="0.25">
      <c r="A245" s="388"/>
    </row>
    <row r="246" spans="1:1" s="71" customFormat="1" x14ac:dyDescent="0.25">
      <c r="A246" s="388"/>
    </row>
    <row r="247" spans="1:1" s="71" customFormat="1" x14ac:dyDescent="0.25">
      <c r="A247" s="388"/>
    </row>
    <row r="248" spans="1:1" s="71" customFormat="1" x14ac:dyDescent="0.25">
      <c r="A248" s="388"/>
    </row>
    <row r="249" spans="1:1" s="71" customFormat="1" x14ac:dyDescent="0.25">
      <c r="A249" s="388"/>
    </row>
    <row r="250" spans="1:1" s="71" customFormat="1" x14ac:dyDescent="0.25">
      <c r="A250" s="388"/>
    </row>
    <row r="251" spans="1:1" s="71" customFormat="1" x14ac:dyDescent="0.25">
      <c r="A251" s="388"/>
    </row>
    <row r="252" spans="1:1" s="71" customFormat="1" x14ac:dyDescent="0.25">
      <c r="A252" s="388"/>
    </row>
    <row r="253" spans="1:1" s="71" customFormat="1" x14ac:dyDescent="0.25">
      <c r="A253" s="388"/>
    </row>
    <row r="254" spans="1:1" s="71" customFormat="1" x14ac:dyDescent="0.25">
      <c r="A254" s="388"/>
    </row>
    <row r="255" spans="1:1" s="71" customFormat="1" x14ac:dyDescent="0.25">
      <c r="A255" s="388"/>
    </row>
    <row r="256" spans="1:1" s="71" customFormat="1" x14ac:dyDescent="0.25">
      <c r="A256" s="388"/>
    </row>
    <row r="257" spans="1:1" s="71" customFormat="1" x14ac:dyDescent="0.25">
      <c r="A257" s="388"/>
    </row>
    <row r="258" spans="1:1" s="71" customFormat="1" x14ac:dyDescent="0.25">
      <c r="A258" s="388"/>
    </row>
    <row r="259" spans="1:1" s="71" customFormat="1" x14ac:dyDescent="0.25">
      <c r="A259" s="388"/>
    </row>
    <row r="260" spans="1:1" s="71" customFormat="1" x14ac:dyDescent="0.25">
      <c r="A260" s="388"/>
    </row>
    <row r="261" spans="1:1" s="71" customFormat="1" x14ac:dyDescent="0.25">
      <c r="A261" s="388"/>
    </row>
    <row r="262" spans="1:1" s="71" customFormat="1" x14ac:dyDescent="0.25">
      <c r="A262" s="388"/>
    </row>
    <row r="263" spans="1:1" s="71" customFormat="1" x14ac:dyDescent="0.25">
      <c r="A263" s="388"/>
    </row>
    <row r="264" spans="1:1" s="71" customFormat="1" x14ac:dyDescent="0.25">
      <c r="A264" s="388"/>
    </row>
    <row r="265" spans="1:1" s="71" customFormat="1" x14ac:dyDescent="0.25">
      <c r="A265" s="388"/>
    </row>
    <row r="266" spans="1:1" s="71" customFormat="1" x14ac:dyDescent="0.25">
      <c r="A266" s="388"/>
    </row>
    <row r="267" spans="1:1" s="71" customFormat="1" x14ac:dyDescent="0.25">
      <c r="A267" s="388"/>
    </row>
    <row r="268" spans="1:1" s="71" customFormat="1" x14ac:dyDescent="0.25">
      <c r="A268" s="388"/>
    </row>
    <row r="269" spans="1:1" s="71" customFormat="1" x14ac:dyDescent="0.25">
      <c r="A269" s="388"/>
    </row>
    <row r="270" spans="1:1" s="71" customFormat="1" x14ac:dyDescent="0.25">
      <c r="A270" s="388"/>
    </row>
    <row r="271" spans="1:1" s="71" customFormat="1" x14ac:dyDescent="0.25">
      <c r="A271" s="388"/>
    </row>
    <row r="272" spans="1:1" s="71" customFormat="1" x14ac:dyDescent="0.25">
      <c r="A272" s="388"/>
    </row>
    <row r="273" spans="1:1" s="71" customFormat="1" x14ac:dyDescent="0.25">
      <c r="A273" s="388"/>
    </row>
    <row r="274" spans="1:1" s="71" customFormat="1" x14ac:dyDescent="0.25">
      <c r="A274" s="388"/>
    </row>
    <row r="275" spans="1:1" s="71" customFormat="1" x14ac:dyDescent="0.25">
      <c r="A275" s="388"/>
    </row>
    <row r="276" spans="1:1" s="71" customFormat="1" x14ac:dyDescent="0.25">
      <c r="A276" s="388"/>
    </row>
    <row r="277" spans="1:1" s="71" customFormat="1" x14ac:dyDescent="0.25">
      <c r="A277" s="388"/>
    </row>
    <row r="278" spans="1:1" s="71" customFormat="1" x14ac:dyDescent="0.25">
      <c r="A278" s="388"/>
    </row>
    <row r="279" spans="1:1" s="71" customFormat="1" x14ac:dyDescent="0.25">
      <c r="A279" s="388"/>
    </row>
    <row r="280" spans="1:1" s="71" customFormat="1" x14ac:dyDescent="0.25">
      <c r="A280" s="388"/>
    </row>
    <row r="281" spans="1:1" s="71" customFormat="1" x14ac:dyDescent="0.25">
      <c r="A281" s="388"/>
    </row>
    <row r="282" spans="1:1" s="71" customFormat="1" x14ac:dyDescent="0.25">
      <c r="A282" s="388"/>
    </row>
    <row r="283" spans="1:1" s="71" customFormat="1" x14ac:dyDescent="0.25">
      <c r="A283" s="388"/>
    </row>
    <row r="284" spans="1:1" s="71" customFormat="1" x14ac:dyDescent="0.25">
      <c r="A284" s="388"/>
    </row>
    <row r="285" spans="1:1" s="71" customFormat="1" x14ac:dyDescent="0.25">
      <c r="A285" s="388"/>
    </row>
    <row r="286" spans="1:1" s="71" customFormat="1" x14ac:dyDescent="0.25">
      <c r="A286" s="388"/>
    </row>
    <row r="287" spans="1:1" s="71" customFormat="1" x14ac:dyDescent="0.25">
      <c r="A287" s="388"/>
    </row>
    <row r="288" spans="1:1" s="71" customFormat="1" x14ac:dyDescent="0.25">
      <c r="A288" s="388"/>
    </row>
    <row r="289" spans="1:1" s="71" customFormat="1" x14ac:dyDescent="0.25">
      <c r="A289" s="388"/>
    </row>
    <row r="290" spans="1:1" s="71" customFormat="1" x14ac:dyDescent="0.25">
      <c r="A290" s="388"/>
    </row>
    <row r="291" spans="1:1" s="71" customFormat="1" x14ac:dyDescent="0.25">
      <c r="A291" s="388"/>
    </row>
    <row r="292" spans="1:1" s="71" customFormat="1" x14ac:dyDescent="0.25">
      <c r="A292" s="388"/>
    </row>
    <row r="293" spans="1:1" s="71" customFormat="1" x14ac:dyDescent="0.25">
      <c r="A293" s="388"/>
    </row>
    <row r="294" spans="1:1" s="71" customFormat="1" x14ac:dyDescent="0.25">
      <c r="A294" s="388"/>
    </row>
    <row r="295" spans="1:1" s="71" customFormat="1" x14ac:dyDescent="0.25">
      <c r="A295" s="388"/>
    </row>
    <row r="296" spans="1:1" s="71" customFormat="1" x14ac:dyDescent="0.25">
      <c r="A296" s="388"/>
    </row>
    <row r="297" spans="1:1" s="71" customFormat="1" x14ac:dyDescent="0.25">
      <c r="A297" s="388"/>
    </row>
    <row r="298" spans="1:1" s="71" customFormat="1" x14ac:dyDescent="0.25">
      <c r="A298" s="388"/>
    </row>
    <row r="299" spans="1:1" s="71" customFormat="1" x14ac:dyDescent="0.25">
      <c r="A299" s="388"/>
    </row>
    <row r="300" spans="1:1" s="71" customFormat="1" x14ac:dyDescent="0.25">
      <c r="A300" s="388"/>
    </row>
    <row r="301" spans="1:1" s="71" customFormat="1" x14ac:dyDescent="0.25">
      <c r="A301" s="388"/>
    </row>
    <row r="302" spans="1:1" s="71" customFormat="1" x14ac:dyDescent="0.25">
      <c r="A302" s="388"/>
    </row>
    <row r="303" spans="1:1" s="71" customFormat="1" x14ac:dyDescent="0.25">
      <c r="A303" s="388"/>
    </row>
    <row r="304" spans="1:1" s="71" customFormat="1" x14ac:dyDescent="0.25">
      <c r="A304" s="388"/>
    </row>
    <row r="305" spans="1:1" s="71" customFormat="1" x14ac:dyDescent="0.25">
      <c r="A305" s="388"/>
    </row>
    <row r="306" spans="1:1" s="71" customFormat="1" x14ac:dyDescent="0.25">
      <c r="A306" s="388"/>
    </row>
    <row r="307" spans="1:1" s="71" customFormat="1" x14ac:dyDescent="0.25">
      <c r="A307" s="388"/>
    </row>
    <row r="308" spans="1:1" s="71" customFormat="1" x14ac:dyDescent="0.25">
      <c r="A308" s="388"/>
    </row>
    <row r="309" spans="1:1" s="71" customFormat="1" x14ac:dyDescent="0.25">
      <c r="A309" s="388"/>
    </row>
    <row r="310" spans="1:1" s="71" customFormat="1" x14ac:dyDescent="0.25">
      <c r="A310" s="388"/>
    </row>
    <row r="311" spans="1:1" s="71" customFormat="1" x14ac:dyDescent="0.25">
      <c r="A311" s="388"/>
    </row>
    <row r="312" spans="1:1" s="71" customFormat="1" x14ac:dyDescent="0.25">
      <c r="A312" s="388"/>
    </row>
    <row r="313" spans="1:1" s="71" customFormat="1" x14ac:dyDescent="0.25">
      <c r="A313" s="388"/>
    </row>
    <row r="314" spans="1:1" s="71" customFormat="1" x14ac:dyDescent="0.25">
      <c r="A314" s="388"/>
    </row>
    <row r="315" spans="1:1" s="71" customFormat="1" x14ac:dyDescent="0.25">
      <c r="A315" s="388"/>
    </row>
    <row r="316" spans="1:1" s="71" customFormat="1" x14ac:dyDescent="0.25">
      <c r="A316" s="388"/>
    </row>
    <row r="317" spans="1:1" s="71" customFormat="1" x14ac:dyDescent="0.25">
      <c r="A317" s="388"/>
    </row>
    <row r="318" spans="1:1" s="71" customFormat="1" x14ac:dyDescent="0.25">
      <c r="A318" s="388"/>
    </row>
    <row r="319" spans="1:1" s="71" customFormat="1" x14ac:dyDescent="0.25">
      <c r="A319" s="388"/>
    </row>
    <row r="320" spans="1:1" s="71" customFormat="1" x14ac:dyDescent="0.25">
      <c r="A320" s="388"/>
    </row>
    <row r="321" spans="1:1" s="71" customFormat="1" x14ac:dyDescent="0.25">
      <c r="A321" s="388"/>
    </row>
    <row r="322" spans="1:1" s="71" customFormat="1" x14ac:dyDescent="0.25">
      <c r="A322" s="388"/>
    </row>
  </sheetData>
  <sheetProtection algorithmName="SHA-512" hashValue="1nGAJs6vUsQQWU7B2Xa+ZfoAGFErcRzF8LdFALfF1EcviguVZd5W+kBdUzy+PJ3N5DpqzyKbZL8RjrKnnOgIiw==" saltValue="PnlLusg2CEcHYwezHSzSdA==" spinCount="100000" sheet="1" formatCells="0" formatColumns="0" formatRows="0"/>
  <mergeCells count="240">
    <mergeCell ref="A79:A81"/>
    <mergeCell ref="A82:A84"/>
    <mergeCell ref="F79:H79"/>
    <mergeCell ref="K79:M79"/>
    <mergeCell ref="P79:R79"/>
    <mergeCell ref="U79:W79"/>
    <mergeCell ref="A26:A28"/>
    <mergeCell ref="E27:W27"/>
    <mergeCell ref="E31:G31"/>
    <mergeCell ref="I32:K32"/>
    <mergeCell ref="I33:K33"/>
    <mergeCell ref="I34:K34"/>
    <mergeCell ref="A42:W42"/>
    <mergeCell ref="F83:H83"/>
    <mergeCell ref="A36:A40"/>
    <mergeCell ref="T38:U38"/>
    <mergeCell ref="P37:U37"/>
    <mergeCell ref="Q33:S33"/>
    <mergeCell ref="Q34:S34"/>
    <mergeCell ref="I31:K31"/>
    <mergeCell ref="M31:O31"/>
    <mergeCell ref="Q31:S31"/>
    <mergeCell ref="E30:G30"/>
    <mergeCell ref="V26:W26"/>
    <mergeCell ref="E54:H54"/>
    <mergeCell ref="O67:Q67"/>
    <mergeCell ref="G70:I70"/>
    <mergeCell ref="K70:M70"/>
    <mergeCell ref="G68:I68"/>
    <mergeCell ref="D40:W40"/>
    <mergeCell ref="G66:I66"/>
    <mergeCell ref="U69:W69"/>
    <mergeCell ref="U67:W67"/>
    <mergeCell ref="U70:W70"/>
    <mergeCell ref="G67:I67"/>
    <mergeCell ref="K67:M67"/>
    <mergeCell ref="K68:M68"/>
    <mergeCell ref="O68:Q68"/>
    <mergeCell ref="K38:P38"/>
    <mergeCell ref="K37:M37"/>
    <mergeCell ref="E37:G37"/>
    <mergeCell ref="E34:G34"/>
    <mergeCell ref="O64:Q64"/>
    <mergeCell ref="O19:W19"/>
    <mergeCell ref="P83:R83"/>
    <mergeCell ref="U83:W83"/>
    <mergeCell ref="E44:N44"/>
    <mergeCell ref="E45:H45"/>
    <mergeCell ref="E47:N47"/>
    <mergeCell ref="R47:S47"/>
    <mergeCell ref="R44:S44"/>
    <mergeCell ref="E53:N53"/>
    <mergeCell ref="E48:H48"/>
    <mergeCell ref="J76:W76"/>
    <mergeCell ref="E77:G77"/>
    <mergeCell ref="J77:W77"/>
    <mergeCell ref="K62:M62"/>
    <mergeCell ref="O70:Q70"/>
    <mergeCell ref="K64:M64"/>
    <mergeCell ref="G63:I63"/>
    <mergeCell ref="K63:M63"/>
    <mergeCell ref="R53:S53"/>
    <mergeCell ref="D71:W71"/>
    <mergeCell ref="Y59:AA60"/>
    <mergeCell ref="K58:M58"/>
    <mergeCell ref="K66:M66"/>
    <mergeCell ref="O66:Q66"/>
    <mergeCell ref="U66:W66"/>
    <mergeCell ref="K60:M60"/>
    <mergeCell ref="O59:Q59"/>
    <mergeCell ref="K59:M59"/>
    <mergeCell ref="U60:W60"/>
    <mergeCell ref="Y68:Z68"/>
    <mergeCell ref="Y62:Z62"/>
    <mergeCell ref="Y64:Z64"/>
    <mergeCell ref="Y66:Z66"/>
    <mergeCell ref="G64:I64"/>
    <mergeCell ref="J120:R120"/>
    <mergeCell ref="R113:R114"/>
    <mergeCell ref="U113:W114"/>
    <mergeCell ref="X5:Y5"/>
    <mergeCell ref="A44:A56"/>
    <mergeCell ref="G57:W57"/>
    <mergeCell ref="E36:G36"/>
    <mergeCell ref="K36:M36"/>
    <mergeCell ref="E113:E114"/>
    <mergeCell ref="F113:G114"/>
    <mergeCell ref="H113:I114"/>
    <mergeCell ref="J113:L114"/>
    <mergeCell ref="M113:O114"/>
    <mergeCell ref="S113:T114"/>
    <mergeCell ref="P113:Q114"/>
    <mergeCell ref="U68:W68"/>
    <mergeCell ref="G65:I65"/>
    <mergeCell ref="K65:M65"/>
    <mergeCell ref="O63:Q63"/>
    <mergeCell ref="M19:N19"/>
    <mergeCell ref="E12:F12"/>
    <mergeCell ref="E74:G74"/>
    <mergeCell ref="U62:W62"/>
    <mergeCell ref="E23:W23"/>
    <mergeCell ref="A121:W124"/>
    <mergeCell ref="A115:A119"/>
    <mergeCell ref="B115:W119"/>
    <mergeCell ref="U120:W120"/>
    <mergeCell ref="A113:B114"/>
    <mergeCell ref="C113:D114"/>
    <mergeCell ref="G61:I61"/>
    <mergeCell ref="K61:M61"/>
    <mergeCell ref="J74:W74"/>
    <mergeCell ref="U63:W63"/>
    <mergeCell ref="G62:I62"/>
    <mergeCell ref="O61:Q61"/>
    <mergeCell ref="U61:W61"/>
    <mergeCell ref="U64:W64"/>
    <mergeCell ref="O65:Q65"/>
    <mergeCell ref="U65:W65"/>
    <mergeCell ref="A72:A78"/>
    <mergeCell ref="O62:Q62"/>
    <mergeCell ref="E75:G75"/>
    <mergeCell ref="J75:W75"/>
    <mergeCell ref="B89:B94"/>
    <mergeCell ref="B95:B100"/>
    <mergeCell ref="E76:G76"/>
    <mergeCell ref="S99:U99"/>
    <mergeCell ref="E18:H18"/>
    <mergeCell ref="I18:J18"/>
    <mergeCell ref="K18:W18"/>
    <mergeCell ref="E13:F13"/>
    <mergeCell ref="E14:F14"/>
    <mergeCell ref="E15:F15"/>
    <mergeCell ref="E16:F16"/>
    <mergeCell ref="E17:F17"/>
    <mergeCell ref="E19:L19"/>
    <mergeCell ref="E22:L22"/>
    <mergeCell ref="N22:P22"/>
    <mergeCell ref="A4:W10"/>
    <mergeCell ref="A57:A71"/>
    <mergeCell ref="G59:I59"/>
    <mergeCell ref="G58:I58"/>
    <mergeCell ref="G60:I60"/>
    <mergeCell ref="E39:G39"/>
    <mergeCell ref="E33:G33"/>
    <mergeCell ref="E32:G32"/>
    <mergeCell ref="M32:O32"/>
    <mergeCell ref="M33:O33"/>
    <mergeCell ref="A30:A34"/>
    <mergeCell ref="H28:V28"/>
    <mergeCell ref="E38:G38"/>
    <mergeCell ref="M34:O34"/>
    <mergeCell ref="Q32:S32"/>
    <mergeCell ref="A11:A17"/>
    <mergeCell ref="A22:A25"/>
    <mergeCell ref="A19:A21"/>
    <mergeCell ref="I24:W24"/>
    <mergeCell ref="O20:W20"/>
    <mergeCell ref="E11:F11"/>
    <mergeCell ref="A18:D18"/>
    <mergeCell ref="T1:V1"/>
    <mergeCell ref="E2:N2"/>
    <mergeCell ref="U59:W59"/>
    <mergeCell ref="O60:Q60"/>
    <mergeCell ref="E50:N50"/>
    <mergeCell ref="I46:K46"/>
    <mergeCell ref="K39:W39"/>
    <mergeCell ref="R36:T36"/>
    <mergeCell ref="B101:B106"/>
    <mergeCell ref="S101:U101"/>
    <mergeCell ref="G102:I102"/>
    <mergeCell ref="S102:U102"/>
    <mergeCell ref="G103:I103"/>
    <mergeCell ref="G69:I69"/>
    <mergeCell ref="K69:M69"/>
    <mergeCell ref="O69:Q69"/>
    <mergeCell ref="I49:K49"/>
    <mergeCell ref="I52:K52"/>
    <mergeCell ref="I55:K55"/>
    <mergeCell ref="R50:S50"/>
    <mergeCell ref="E51:H51"/>
    <mergeCell ref="O58:Q58"/>
    <mergeCell ref="T3:W3"/>
    <mergeCell ref="E20:K20"/>
    <mergeCell ref="AB92:AC92"/>
    <mergeCell ref="A85:A87"/>
    <mergeCell ref="I86:K86"/>
    <mergeCell ref="O86:Q86"/>
    <mergeCell ref="O87:Q87"/>
    <mergeCell ref="G90:I90"/>
    <mergeCell ref="S91:U91"/>
    <mergeCell ref="G92:I92"/>
    <mergeCell ref="S92:U92"/>
    <mergeCell ref="I87:K87"/>
    <mergeCell ref="S90:U90"/>
    <mergeCell ref="S89:U89"/>
    <mergeCell ref="A89:A112"/>
    <mergeCell ref="B107:B112"/>
    <mergeCell ref="G110:I110"/>
    <mergeCell ref="S110:U110"/>
    <mergeCell ref="S111:U111"/>
    <mergeCell ref="G91:I91"/>
    <mergeCell ref="G108:I108"/>
    <mergeCell ref="S95:U95"/>
    <mergeCell ref="S93:U93"/>
    <mergeCell ref="F80:H80"/>
    <mergeCell ref="K80:M80"/>
    <mergeCell ref="P80:R80"/>
    <mergeCell ref="U80:W80"/>
    <mergeCell ref="S87:W87"/>
    <mergeCell ref="V86:W86"/>
    <mergeCell ref="AD98:AF98"/>
    <mergeCell ref="S107:U107"/>
    <mergeCell ref="G109:I109"/>
    <mergeCell ref="S109:U109"/>
    <mergeCell ref="G96:I96"/>
    <mergeCell ref="S96:U96"/>
    <mergeCell ref="G97:I97"/>
    <mergeCell ref="S97:U97"/>
    <mergeCell ref="G98:I98"/>
    <mergeCell ref="S108:U108"/>
    <mergeCell ref="S98:U98"/>
    <mergeCell ref="S103:U103"/>
    <mergeCell ref="G104:I104"/>
    <mergeCell ref="S104:U104"/>
    <mergeCell ref="S105:U105"/>
    <mergeCell ref="AD99:AF99"/>
    <mergeCell ref="AD97:AF97"/>
    <mergeCell ref="K83:M83"/>
    <mergeCell ref="AC42:AI42"/>
    <mergeCell ref="R46:S46"/>
    <mergeCell ref="U46:W46"/>
    <mergeCell ref="R49:S49"/>
    <mergeCell ref="U49:W49"/>
    <mergeCell ref="R52:S52"/>
    <mergeCell ref="U52:W52"/>
    <mergeCell ref="R55:S55"/>
    <mergeCell ref="U55:W55"/>
    <mergeCell ref="R45:S45"/>
    <mergeCell ref="R48:S48"/>
    <mergeCell ref="R51:S51"/>
    <mergeCell ref="R54:S54"/>
  </mergeCells>
  <conditionalFormatting sqref="C113:D114">
    <cfRule type="cellIs" dxfId="28" priority="4" operator="lessThan">
      <formula>$E$36</formula>
    </cfRule>
  </conditionalFormatting>
  <conditionalFormatting sqref="I31:S34">
    <cfRule type="expression" dxfId="27" priority="3">
      <formula>OR(ISBLANK($E$30),$E$30=1)</formula>
    </cfRule>
  </conditionalFormatting>
  <conditionalFormatting sqref="M31:S34">
    <cfRule type="expression" dxfId="26" priority="2">
      <formula>$E$30=2</formula>
    </cfRule>
  </conditionalFormatting>
  <conditionalFormatting sqref="P113">
    <cfRule type="cellIs" dxfId="25" priority="5" operator="greaterThanOrEqual">
      <formula>0.05</formula>
    </cfRule>
    <cfRule type="cellIs" dxfId="24" priority="6" operator="lessThan">
      <formula>0.05</formula>
    </cfRule>
  </conditionalFormatting>
  <conditionalFormatting sqref="Q31:S34">
    <cfRule type="expression" dxfId="23" priority="1">
      <formula>$E$30=3</formula>
    </cfRule>
  </conditionalFormatting>
  <conditionalFormatting sqref="S87:W87">
    <cfRule type="containsText" dxfId="22" priority="7" operator="containsText" text="NOT">
      <formula>NOT(ISERROR(SEARCH("NOT",S87)))</formula>
    </cfRule>
  </conditionalFormatting>
  <dataValidations count="7">
    <dataValidation type="list" allowBlank="1" showInputMessage="1" showErrorMessage="1" sqref="E30" xr:uid="{43818B1C-FB87-44DE-95DB-EFAF19C834FE}">
      <formula1>"1,2,3,4"</formula1>
    </dataValidation>
    <dataValidation type="list" allowBlank="1" showInputMessage="1" showErrorMessage="1" sqref="K38:P38" xr:uid="{1228D9CA-EBEC-40A6-9FC8-6B47181F1BE5}">
      <formula1>Prodcut_Length2</formula1>
    </dataValidation>
    <dataValidation type="list" allowBlank="1" showInputMessage="1" showErrorMessage="1" sqref="P37:U37" xr:uid="{00000000-0002-0000-0000-000005000000}">
      <formula1>$AC$124:$AC$125</formula1>
    </dataValidation>
    <dataValidation type="list" allowBlank="1" showInputMessage="1" showErrorMessage="1" sqref="Q26 V22 V26:W26 Y10 E28:E29 E24:E25" xr:uid="{00000000-0002-0000-0000-000004000000}">
      <formula1>$AA$125:$AA$126</formula1>
    </dataValidation>
    <dataValidation type="list" allowBlank="1" showInputMessage="1" showErrorMessage="1" sqref="E38" xr:uid="{00000000-0002-0000-0000-000003000000}">
      <formula1>$Y$125:$Y$128</formula1>
    </dataValidation>
    <dataValidation type="list" allowBlank="1" showInputMessage="1" showErrorMessage="1" sqref="F83:H83 K83:M83 P83:R83 U83:W83" xr:uid="{AA068AED-3737-4236-9496-D0F3FB5D6F98}">
      <formula1>"1.00,4.00,4.49,5.50"</formula1>
    </dataValidation>
    <dataValidation type="list" allowBlank="1" showInputMessage="1" showErrorMessage="1" sqref="C45 C48 C51 C54" xr:uid="{D1F9F244-350A-4491-9C0B-46831C918CA7}">
      <formula1>"--,Yes"</formula1>
    </dataValidation>
  </dataValidations>
  <pageMargins left="0" right="0" top="0" bottom="0" header="0" footer="0"/>
  <pageSetup paperSize="9" scale="44" orientation="portrait" r:id="rId1"/>
  <headerFooter>
    <oddFooter>&amp;C_x000D_&amp;1#&amp;"Calibri"&amp;10&amp;K000000 HIGHLY CONFIDENTIAL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1">
              <controlPr defaultSize="0" print="0" autoFill="0" autoPict="0" macro="[0]!RESETEN">
                <anchor>
                  <from>
                    <xdr:col>19</xdr:col>
                    <xdr:colOff>466725</xdr:colOff>
                    <xdr:row>0</xdr:row>
                    <xdr:rowOff>47625</xdr:rowOff>
                  </from>
                  <to>
                    <xdr:col>22</xdr:col>
                    <xdr:colOff>219075</xdr:colOff>
                    <xdr:row>1</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47F5BD83-087A-4F68-9C0A-13A5957780C0}">
          <x14:formula1>
            <xm:f>Data!$R$3:$R$44</xm:f>
          </x14:formula1>
          <xm:sqref>E2:N2</xm:sqref>
        </x14:dataValidation>
        <x14:dataValidation type="list" allowBlank="1" showInputMessage="1" showErrorMessage="1" xr:uid="{42E7A2B5-BD8D-4181-88B6-75F6C7392744}">
          <x14:formula1>
            <xm:f>Data!$D$3:$N$3</xm:f>
          </x14:formula1>
          <xm:sqref>Q33:S33 E33:G33 I33:K33 M33:O33</xm:sqref>
        </x14:dataValidation>
        <x14:dataValidation type="list" allowBlank="1" showInputMessage="1" showErrorMessage="1" xr:uid="{4F114BBF-FBA7-4568-8DD3-5BF319DE9798}">
          <x14:formula1>
            <xm:f>Data!$C$46:$C$54</xm:f>
          </x14:formula1>
          <xm:sqref>E34:G34 I34:K34 M34:O34 Q34:S34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B126"/>
  <sheetViews>
    <sheetView showGridLines="0" tabSelected="1" zoomScale="80" zoomScaleNormal="80" workbookViewId="0">
      <selection activeCell="U23" sqref="U23"/>
    </sheetView>
  </sheetViews>
  <sheetFormatPr defaultColWidth="9.140625" defaultRowHeight="15" x14ac:dyDescent="0.25"/>
  <cols>
    <col min="1" max="1" width="2.28515625" style="44" bestFit="1" customWidth="1"/>
    <col min="2" max="2" width="38.140625" style="44" customWidth="1"/>
    <col min="3" max="3" width="25.140625" style="44" customWidth="1"/>
    <col min="4" max="4" width="5" style="44" customWidth="1"/>
    <col min="5" max="5" width="6.140625" style="44" customWidth="1"/>
    <col min="6" max="6" width="1.85546875" style="44" customWidth="1"/>
    <col min="7" max="7" width="25.7109375" style="44" customWidth="1"/>
    <col min="8" max="8" width="2" style="44" customWidth="1"/>
    <col min="9" max="9" width="5.140625" style="44" customWidth="1"/>
    <col min="10" max="10" width="1.85546875" style="44" customWidth="1"/>
    <col min="11" max="11" width="25.7109375" style="44" customWidth="1"/>
    <col min="12" max="12" width="1.5703125" style="44" customWidth="1"/>
    <col min="13" max="13" width="4.42578125" style="44" customWidth="1"/>
    <col min="14" max="14" width="3.7109375" style="44" customWidth="1"/>
    <col min="15" max="15" width="25.7109375" style="216" customWidth="1"/>
    <col min="16" max="16" width="1.85546875" style="45" customWidth="1"/>
    <col min="17" max="17" width="4.7109375" style="44" customWidth="1"/>
    <col min="18" max="18" width="18.140625" style="44" customWidth="1"/>
    <col min="19" max="19" width="9.140625" style="212"/>
    <col min="20" max="20" width="6.7109375" style="213" customWidth="1"/>
    <col min="21" max="21" width="7.28515625" style="213" customWidth="1"/>
    <col min="22" max="22" width="7.7109375" style="213" customWidth="1"/>
    <col min="23" max="23" width="7.5703125" style="213" customWidth="1"/>
    <col min="24" max="24" width="13.140625" style="44" customWidth="1"/>
    <col min="25" max="25" width="12.7109375" style="44" customWidth="1"/>
    <col min="26" max="26" width="15.28515625" style="44" customWidth="1"/>
    <col min="27" max="16384" width="9.140625" style="44"/>
  </cols>
  <sheetData>
    <row r="1" spans="2:28" x14ac:dyDescent="0.25">
      <c r="I1" s="50"/>
      <c r="J1" s="50"/>
      <c r="K1" s="211"/>
      <c r="L1" s="50"/>
      <c r="M1" s="50"/>
      <c r="N1" s="50"/>
      <c r="O1" s="211"/>
    </row>
    <row r="2" spans="2:28" ht="45.75" x14ac:dyDescent="0.7">
      <c r="B2" s="736" t="s">
        <v>184</v>
      </c>
      <c r="C2" s="736"/>
      <c r="D2" s="736"/>
      <c r="E2" s="736"/>
      <c r="F2" s="736"/>
      <c r="G2" s="736"/>
      <c r="H2" s="736"/>
      <c r="I2" s="736"/>
      <c r="J2" s="215"/>
      <c r="K2" s="215"/>
      <c r="L2" s="215"/>
      <c r="M2" s="214"/>
    </row>
    <row r="3" spans="2:28" x14ac:dyDescent="0.25">
      <c r="O3" s="217" t="s">
        <v>587</v>
      </c>
    </row>
    <row r="4" spans="2:28" x14ac:dyDescent="0.25">
      <c r="B4" s="46" t="s">
        <v>136</v>
      </c>
      <c r="C4" s="747"/>
      <c r="D4" s="748"/>
      <c r="E4" s="748"/>
      <c r="F4" s="748"/>
      <c r="G4" s="749"/>
      <c r="O4" s="218" t="s">
        <v>588</v>
      </c>
    </row>
    <row r="5" spans="2:28" x14ac:dyDescent="0.25">
      <c r="B5" s="46"/>
    </row>
    <row r="6" spans="2:28" x14ac:dyDescent="0.25">
      <c r="B6" s="46" t="s">
        <v>137</v>
      </c>
      <c r="C6" s="206"/>
    </row>
    <row r="7" spans="2:28" x14ac:dyDescent="0.25">
      <c r="B7" s="46"/>
      <c r="U7" s="219"/>
      <c r="V7" s="219"/>
      <c r="W7" s="219"/>
      <c r="X7" s="72"/>
      <c r="Y7" s="72"/>
      <c r="Z7" s="72"/>
      <c r="AA7" s="72"/>
      <c r="AB7" s="72"/>
    </row>
    <row r="8" spans="2:28" x14ac:dyDescent="0.25">
      <c r="B8" s="46" t="s">
        <v>138</v>
      </c>
      <c r="C8" s="63"/>
      <c r="U8" s="219"/>
      <c r="V8" s="219"/>
      <c r="W8" s="219"/>
      <c r="X8" s="72"/>
      <c r="Y8" s="72"/>
      <c r="Z8" s="72"/>
      <c r="AA8" s="72"/>
      <c r="AB8" s="72"/>
    </row>
    <row r="9" spans="2:28" x14ac:dyDescent="0.25">
      <c r="B9" s="46"/>
      <c r="U9" s="219"/>
      <c r="V9" s="219"/>
      <c r="W9" s="219"/>
      <c r="X9" s="72"/>
      <c r="Y9" s="72"/>
      <c r="Z9" s="72"/>
      <c r="AA9" s="72"/>
      <c r="AB9" s="72"/>
    </row>
    <row r="10" spans="2:28" x14ac:dyDescent="0.25">
      <c r="B10" s="46" t="s">
        <v>586</v>
      </c>
      <c r="C10" s="752"/>
      <c r="D10" s="753"/>
      <c r="E10" s="753"/>
      <c r="F10" s="753"/>
      <c r="G10" s="754"/>
      <c r="H10" s="220"/>
      <c r="U10" s="219"/>
      <c r="V10" s="219"/>
      <c r="W10" s="219"/>
      <c r="X10" s="72"/>
      <c r="Y10" s="72"/>
      <c r="Z10" s="72"/>
      <c r="AA10" s="72"/>
      <c r="AB10" s="72"/>
    </row>
    <row r="11" spans="2:28" x14ac:dyDescent="0.25">
      <c r="B11" s="46"/>
      <c r="H11" s="220"/>
      <c r="U11" s="219"/>
      <c r="V11" s="757" t="s">
        <v>589</v>
      </c>
      <c r="W11" s="758"/>
      <c r="X11" s="758"/>
      <c r="Y11" s="758"/>
      <c r="Z11" s="758"/>
      <c r="AA11" s="759"/>
      <c r="AB11" s="72"/>
    </row>
    <row r="12" spans="2:28" x14ac:dyDescent="0.25">
      <c r="B12" s="46" t="s">
        <v>355</v>
      </c>
      <c r="C12" s="64"/>
      <c r="D12" s="221"/>
      <c r="H12" s="220"/>
      <c r="U12" s="219"/>
      <c r="V12" s="222"/>
      <c r="W12" s="219"/>
      <c r="X12" s="72"/>
      <c r="Y12" s="72"/>
      <c r="Z12" s="72"/>
      <c r="AA12" s="223"/>
      <c r="AB12" s="72"/>
    </row>
    <row r="13" spans="2:28" x14ac:dyDescent="0.25">
      <c r="B13" s="46"/>
      <c r="D13" s="221"/>
      <c r="H13" s="220"/>
      <c r="U13" s="219"/>
      <c r="V13" s="222"/>
      <c r="W13" s="219"/>
      <c r="X13" s="224" t="s">
        <v>526</v>
      </c>
      <c r="Y13" s="224" t="s">
        <v>339</v>
      </c>
      <c r="Z13" s="72"/>
      <c r="AA13" s="223"/>
      <c r="AB13" s="72"/>
    </row>
    <row r="14" spans="2:28" x14ac:dyDescent="0.25">
      <c r="B14" s="46" t="s">
        <v>158</v>
      </c>
      <c r="C14" s="66"/>
      <c r="D14" s="221"/>
      <c r="G14" s="66"/>
      <c r="H14" s="220"/>
      <c r="K14" s="66"/>
      <c r="O14" s="66"/>
      <c r="U14" s="219"/>
      <c r="V14" s="222"/>
      <c r="W14" s="224" t="s">
        <v>520</v>
      </c>
      <c r="X14" s="225">
        <f>$C$30-($C$33*12)-($C$35*12)</f>
        <v>0</v>
      </c>
      <c r="Y14" s="226">
        <f>$C$26</f>
        <v>0</v>
      </c>
      <c r="Z14" s="225">
        <f>Y14*X14</f>
        <v>0</v>
      </c>
      <c r="AA14" s="223"/>
      <c r="AB14" s="72"/>
    </row>
    <row r="15" spans="2:28" x14ac:dyDescent="0.25">
      <c r="B15" s="46"/>
      <c r="D15" s="221"/>
      <c r="H15" s="220"/>
      <c r="O15" s="44"/>
      <c r="U15" s="219"/>
      <c r="V15" s="222"/>
      <c r="W15" s="224" t="s">
        <v>518</v>
      </c>
      <c r="X15" s="225">
        <f>$G$30-($G$33*12)-($G$35*12)</f>
        <v>0</v>
      </c>
      <c r="Y15" s="226">
        <f>$G$26</f>
        <v>0</v>
      </c>
      <c r="Z15" s="225">
        <f t="shared" ref="Z15:Z17" si="0">Y15*X15</f>
        <v>0</v>
      </c>
      <c r="AA15" s="223"/>
      <c r="AB15" s="72"/>
    </row>
    <row r="16" spans="2:28" x14ac:dyDescent="0.25">
      <c r="B16" s="46" t="s">
        <v>123</v>
      </c>
      <c r="C16" s="556" t="str">
        <f>_xlfn.IFNA(VLOOKUP(LEFT(C14, 2), Postcodes!$A$1:$B$9486, 2, FALSE),"")</f>
        <v/>
      </c>
      <c r="D16" s="221"/>
      <c r="G16" s="556" t="str">
        <f>_xlfn.IFNA(VLOOKUP(LEFT(G14, 2), Postcodes!$A$1:$B$9486, 2, FALSE),"")</f>
        <v/>
      </c>
      <c r="H16" s="220"/>
      <c r="K16" s="556" t="str">
        <f>_xlfn.IFNA(VLOOKUP(LEFT(K14, 2), Postcodes!$A$1:$B$9486, 2, FALSE),"")</f>
        <v/>
      </c>
      <c r="O16" s="556" t="str">
        <f>_xlfn.IFNA(VLOOKUP(LEFT(O14, 2), Postcodes!$A$1:$B$9486, 2, FALSE),"")</f>
        <v/>
      </c>
      <c r="U16" s="219"/>
      <c r="V16" s="222"/>
      <c r="W16" s="224" t="s">
        <v>516</v>
      </c>
      <c r="X16" s="225">
        <f>$K$30-($K$33*12)-($K$35*12)</f>
        <v>0</v>
      </c>
      <c r="Y16" s="226">
        <f>$K$26</f>
        <v>0</v>
      </c>
      <c r="Z16" s="225">
        <f t="shared" si="0"/>
        <v>0</v>
      </c>
      <c r="AA16" s="223"/>
      <c r="AB16" s="72"/>
    </row>
    <row r="17" spans="2:28" x14ac:dyDescent="0.25">
      <c r="B17" s="46"/>
      <c r="D17" s="221"/>
      <c r="H17" s="220"/>
      <c r="O17" s="44"/>
      <c r="U17" s="219"/>
      <c r="V17" s="222"/>
      <c r="W17" s="224" t="s">
        <v>514</v>
      </c>
      <c r="X17" s="225">
        <f>$O$30-($O$33*12)-($O$35*12)</f>
        <v>0</v>
      </c>
      <c r="Y17" s="226">
        <f>$O$26</f>
        <v>0</v>
      </c>
      <c r="Z17" s="225">
        <f t="shared" si="0"/>
        <v>0</v>
      </c>
      <c r="AA17" s="223"/>
      <c r="AB17" s="72"/>
    </row>
    <row r="18" spans="2:28" x14ac:dyDescent="0.25">
      <c r="B18" s="227" t="s">
        <v>585</v>
      </c>
      <c r="C18" s="202"/>
      <c r="D18" s="228"/>
      <c r="E18" s="229"/>
      <c r="F18" s="229"/>
      <c r="G18" s="202"/>
      <c r="H18" s="230"/>
      <c r="I18" s="229"/>
      <c r="J18" s="229"/>
      <c r="K18" s="202"/>
      <c r="L18" s="229"/>
      <c r="M18" s="229"/>
      <c r="N18" s="229"/>
      <c r="O18" s="202"/>
      <c r="U18" s="219"/>
      <c r="V18" s="222"/>
      <c r="W18" s="72"/>
      <c r="X18" s="72"/>
      <c r="Y18" s="72"/>
      <c r="Z18" s="72"/>
      <c r="AA18" s="223"/>
      <c r="AB18" s="72"/>
    </row>
    <row r="19" spans="2:28" x14ac:dyDescent="0.25">
      <c r="B19" s="46"/>
      <c r="D19" s="221"/>
      <c r="H19" s="220"/>
      <c r="O19" s="44"/>
      <c r="U19" s="219"/>
      <c r="V19" s="231"/>
      <c r="W19" s="232"/>
      <c r="X19" s="233"/>
      <c r="Y19" s="233"/>
      <c r="Z19" s="233"/>
      <c r="AA19" s="234"/>
      <c r="AB19" s="72"/>
    </row>
    <row r="20" spans="2:28" x14ac:dyDescent="0.25">
      <c r="B20" s="46" t="s">
        <v>357</v>
      </c>
      <c r="C20" s="561">
        <f>IFERROR(VLOOKUP(C18,Data!$C$45:$D$54, 2, FALSE),0)</f>
        <v>0</v>
      </c>
      <c r="D20" s="221"/>
      <c r="G20" s="235">
        <f>IFERROR(VLOOKUP(G18,Data!$C$45:$D$54, 2, FALSE),0)</f>
        <v>0</v>
      </c>
      <c r="H20" s="220"/>
      <c r="K20" s="235">
        <f>IFERROR(VLOOKUP(K18,Data!$C$45:$D$54, 2, FALSE),0)</f>
        <v>0</v>
      </c>
      <c r="O20" s="235">
        <f>IFERROR(VLOOKUP(O18,Data!$C$45:$D$54, 2, FALSE),0)</f>
        <v>0</v>
      </c>
      <c r="U20" s="219"/>
      <c r="V20" s="219"/>
      <c r="W20" s="72"/>
      <c r="X20" s="72"/>
      <c r="Y20" s="72"/>
      <c r="Z20" s="72"/>
      <c r="AA20" s="72"/>
      <c r="AB20" s="72"/>
    </row>
    <row r="21" spans="2:28" x14ac:dyDescent="0.25">
      <c r="B21" s="46"/>
      <c r="D21" s="221"/>
      <c r="H21" s="220"/>
      <c r="U21" s="219"/>
      <c r="V21" s="219"/>
      <c r="W21" s="219"/>
      <c r="X21" s="72"/>
      <c r="Y21" s="72"/>
      <c r="Z21" s="72"/>
      <c r="AA21" s="72"/>
      <c r="AB21" s="72"/>
    </row>
    <row r="22" spans="2:28" x14ac:dyDescent="0.25">
      <c r="B22" s="62" t="s">
        <v>356</v>
      </c>
      <c r="C22" s="64"/>
      <c r="D22" s="221"/>
      <c r="H22" s="220"/>
    </row>
    <row r="23" spans="2:28" x14ac:dyDescent="0.25">
      <c r="B23" s="62"/>
      <c r="C23" s="220"/>
      <c r="D23" s="221"/>
      <c r="H23" s="220"/>
    </row>
    <row r="24" spans="2:28" ht="23.25" x14ac:dyDescent="0.35">
      <c r="C24" s="236" t="s">
        <v>139</v>
      </c>
      <c r="D24" s="236"/>
      <c r="E24" s="236"/>
      <c r="F24" s="236"/>
      <c r="G24" s="236" t="s">
        <v>140</v>
      </c>
      <c r="H24" s="236"/>
      <c r="K24" s="236" t="s">
        <v>353</v>
      </c>
      <c r="L24" s="236"/>
      <c r="N24" s="47"/>
      <c r="O24" s="236" t="s">
        <v>354</v>
      </c>
      <c r="P24" s="236"/>
    </row>
    <row r="25" spans="2:28" ht="13.5" customHeight="1" x14ac:dyDescent="0.35">
      <c r="C25" s="236"/>
      <c r="D25" s="236"/>
      <c r="E25" s="236"/>
      <c r="F25" s="236"/>
      <c r="G25" s="236"/>
      <c r="H25" s="236"/>
      <c r="K25" s="236"/>
      <c r="L25" s="236"/>
      <c r="N25" s="47"/>
      <c r="O25" s="236"/>
      <c r="P25" s="236"/>
    </row>
    <row r="26" spans="2:28" ht="15" customHeight="1" x14ac:dyDescent="0.35">
      <c r="B26" s="46" t="s">
        <v>576</v>
      </c>
      <c r="C26" s="203"/>
      <c r="D26" s="236"/>
      <c r="E26" s="236"/>
      <c r="F26" s="236"/>
      <c r="G26" s="203"/>
      <c r="H26" s="236"/>
      <c r="K26" s="203"/>
      <c r="L26" s="236"/>
      <c r="N26" s="47"/>
      <c r="O26" s="203"/>
      <c r="P26" s="236"/>
    </row>
    <row r="27" spans="2:28" ht="13.5" customHeight="1" thickBot="1" x14ac:dyDescent="0.4">
      <c r="C27" s="236"/>
      <c r="D27" s="236"/>
      <c r="E27" s="236"/>
      <c r="F27" s="236"/>
      <c r="G27" s="236"/>
      <c r="H27" s="236"/>
      <c r="K27" s="236"/>
      <c r="L27" s="236"/>
      <c r="N27" s="47"/>
      <c r="O27" s="236"/>
      <c r="P27" s="236"/>
    </row>
    <row r="28" spans="2:28" ht="15.75" customHeight="1" thickBot="1" x14ac:dyDescent="0.3">
      <c r="B28" s="46" t="s">
        <v>278</v>
      </c>
      <c r="C28" s="68"/>
      <c r="D28" s="746"/>
      <c r="E28" s="556" t="str">
        <f>IF((($C$8/365)+($C$43)-($C$28/365))&lt;75, "&lt;75", "&gt;75")</f>
        <v>&lt;75</v>
      </c>
      <c r="G28" s="68"/>
      <c r="H28" s="746"/>
      <c r="I28" s="556" t="str">
        <f>IF((($C$8/365)+($C$43)-($G$28/365))&lt;75, "&lt;75", "&gt;75")</f>
        <v>&lt;75</v>
      </c>
      <c r="K28" s="68"/>
      <c r="L28" s="746"/>
      <c r="M28" s="556" t="str">
        <f>IF((($C$8/365)+($C$43)-($K$28/365))&lt;75, "&lt;75", "&gt;75")</f>
        <v>&lt;75</v>
      </c>
      <c r="N28" s="238"/>
      <c r="O28" s="68"/>
      <c r="P28" s="746"/>
      <c r="Q28" s="556" t="str">
        <f>IF((($C$8/365)+($C$43)-($O$28/365))&lt;75, "&lt;75", "&gt;75")</f>
        <v>&lt;75</v>
      </c>
    </row>
    <row r="29" spans="2:28" ht="15.75" thickBot="1" x14ac:dyDescent="0.3">
      <c r="D29" s="746"/>
      <c r="E29" s="237"/>
      <c r="H29" s="746"/>
      <c r="I29" s="237"/>
      <c r="J29" s="237"/>
      <c r="L29" s="746"/>
      <c r="M29" s="237"/>
      <c r="O29" s="44"/>
      <c r="P29" s="746"/>
      <c r="Q29" s="237"/>
    </row>
    <row r="30" spans="2:28" ht="15.75" thickBot="1" x14ac:dyDescent="0.3">
      <c r="B30" s="46" t="s">
        <v>280</v>
      </c>
      <c r="C30" s="67"/>
      <c r="D30" s="48"/>
      <c r="E30" s="48"/>
      <c r="F30" s="48"/>
      <c r="G30" s="67"/>
      <c r="H30" s="49"/>
      <c r="K30" s="67"/>
      <c r="L30" s="49"/>
      <c r="N30" s="239"/>
      <c r="O30" s="67"/>
      <c r="P30" s="49"/>
    </row>
    <row r="31" spans="2:28" ht="15.75" thickBot="1" x14ac:dyDescent="0.3">
      <c r="B31" s="46" t="s">
        <v>281</v>
      </c>
      <c r="C31" s="67"/>
      <c r="D31" s="48"/>
      <c r="E31" s="48"/>
      <c r="F31" s="48"/>
      <c r="G31" s="67"/>
      <c r="H31" s="49"/>
      <c r="K31" s="67"/>
      <c r="L31" s="49"/>
      <c r="N31" s="239"/>
      <c r="O31" s="67"/>
      <c r="P31" s="49"/>
    </row>
    <row r="32" spans="2:28" ht="15.75" thickBot="1" x14ac:dyDescent="0.3">
      <c r="O32" s="44"/>
      <c r="P32" s="44"/>
    </row>
    <row r="33" spans="2:28" ht="15.75" thickBot="1" x14ac:dyDescent="0.3">
      <c r="B33" s="46" t="s">
        <v>259</v>
      </c>
      <c r="C33" s="67"/>
      <c r="D33" s="48"/>
      <c r="E33" s="48"/>
      <c r="F33" s="48"/>
      <c r="G33" s="67"/>
      <c r="H33" s="49"/>
      <c r="K33" s="67"/>
      <c r="L33" s="49"/>
      <c r="O33" s="67"/>
      <c r="P33" s="49"/>
    </row>
    <row r="34" spans="2:28" ht="15.75" thickBot="1" x14ac:dyDescent="0.3">
      <c r="B34" s="46" t="s">
        <v>260</v>
      </c>
      <c r="C34" s="67"/>
      <c r="D34" s="536"/>
      <c r="E34" s="536"/>
      <c r="F34" s="536"/>
      <c r="G34" s="537"/>
      <c r="H34" s="538"/>
      <c r="I34" s="539"/>
      <c r="J34" s="539"/>
      <c r="K34" s="540"/>
      <c r="L34" s="49"/>
      <c r="O34" s="67"/>
      <c r="P34" s="49"/>
    </row>
    <row r="35" spans="2:28" x14ac:dyDescent="0.25">
      <c r="B35" s="46" t="s">
        <v>298</v>
      </c>
      <c r="C35" s="557">
        <f>C34*3%</f>
        <v>0</v>
      </c>
      <c r="D35" s="539"/>
      <c r="E35" s="539"/>
      <c r="F35" s="539"/>
      <c r="G35" s="541">
        <f>G34*3%</f>
        <v>0</v>
      </c>
      <c r="H35" s="542"/>
      <c r="I35" s="539"/>
      <c r="J35" s="539"/>
      <c r="K35" s="541">
        <f>K34*3%</f>
        <v>0</v>
      </c>
      <c r="L35" s="240"/>
      <c r="O35" s="541">
        <f>O34*3%</f>
        <v>0</v>
      </c>
      <c r="P35" s="240"/>
    </row>
    <row r="36" spans="2:28" ht="15.75" thickBot="1" x14ac:dyDescent="0.3">
      <c r="B36" s="46"/>
      <c r="C36" s="240"/>
      <c r="D36" s="543"/>
      <c r="E36" s="543"/>
      <c r="F36" s="544"/>
      <c r="G36" s="545"/>
      <c r="H36" s="545"/>
      <c r="I36" s="543"/>
      <c r="J36" s="539"/>
      <c r="K36" s="539"/>
    </row>
    <row r="37" spans="2:28" ht="15.75" thickBot="1" x14ac:dyDescent="0.3">
      <c r="B37" s="46" t="s">
        <v>331</v>
      </c>
      <c r="C37" s="514"/>
      <c r="D37" s="740" t="s">
        <v>332</v>
      </c>
      <c r="E37" s="740"/>
      <c r="F37" s="740"/>
      <c r="G37" s="547" t="e">
        <f>_xlfn.NUMBERVALUE(IF(CEILING(C39/C37,0.05)&lt;0.6,0.6,CEILING(C39/C37,0.05)))</f>
        <v>#DIV/0!</v>
      </c>
      <c r="H37" s="545"/>
      <c r="I37" s="548"/>
      <c r="J37" s="543"/>
      <c r="K37" s="549"/>
      <c r="L37" s="487"/>
      <c r="M37" s="487"/>
      <c r="N37" s="487"/>
    </row>
    <row r="38" spans="2:28" ht="15.75" customHeight="1" thickBot="1" x14ac:dyDescent="0.3">
      <c r="B38" s="46"/>
      <c r="D38" s="543"/>
      <c r="E38" s="543"/>
      <c r="F38" s="544"/>
      <c r="G38" s="543"/>
      <c r="H38" s="543"/>
      <c r="I38" s="543"/>
      <c r="J38" s="543"/>
      <c r="K38" s="543"/>
      <c r="L38" s="487"/>
      <c r="M38" s="487"/>
      <c r="N38" s="487"/>
    </row>
    <row r="39" spans="2:28" ht="15.75" customHeight="1" thickBot="1" x14ac:dyDescent="0.3">
      <c r="B39" s="46" t="s">
        <v>163</v>
      </c>
      <c r="C39" s="514"/>
      <c r="D39" s="739" t="s">
        <v>592</v>
      </c>
      <c r="E39" s="739"/>
      <c r="F39" s="739"/>
      <c r="G39" s="551" t="e">
        <f>VLOOKUP($G$37,Data!$C$59:$D$66,2,FALSE)</f>
        <v>#DIV/0!</v>
      </c>
      <c r="H39" s="552"/>
      <c r="I39" s="550" t="s">
        <v>339</v>
      </c>
      <c r="J39" s="543"/>
      <c r="K39" s="549" t="e">
        <f>C39/SUM($X$14:$X$17)</f>
        <v>#DIV/0!</v>
      </c>
      <c r="L39" s="487"/>
      <c r="M39" s="487"/>
      <c r="N39" s="487"/>
    </row>
    <row r="40" spans="2:28" ht="15.75" customHeight="1" x14ac:dyDescent="0.25">
      <c r="B40" s="46"/>
      <c r="C40" s="49"/>
      <c r="D40" s="543"/>
      <c r="E40" s="543"/>
      <c r="F40" s="543"/>
      <c r="G40" s="543"/>
      <c r="H40" s="552"/>
      <c r="I40" s="543"/>
      <c r="J40" s="543"/>
      <c r="K40" s="543"/>
      <c r="L40" s="487"/>
      <c r="M40" s="487"/>
      <c r="N40" s="487"/>
    </row>
    <row r="41" spans="2:28" ht="30" customHeight="1" x14ac:dyDescent="0.25">
      <c r="B41" s="46" t="s">
        <v>340</v>
      </c>
      <c r="C41" s="558">
        <f>INDEX($X$14:$X$17,MATCH(LARGE($Z$14:$Z$17,3),$Z$14:$Z$17,0))+INDEX($X$14:$X$17,MATCH(LARGE($Z$14:$Z$17,4),$Z$14:$Z$17,0))+(LARGE($Z$14:$Z$17,1)+LARGE($Z$14:$Z$17,2))</f>
        <v>0</v>
      </c>
      <c r="D41" s="743" t="s">
        <v>313</v>
      </c>
      <c r="E41" s="743"/>
      <c r="F41" s="744"/>
      <c r="G41" s="559" t="e">
        <f>IF(C39&gt;MAX(G39,G39),"Mortgage Required Greater than Max Loan",IF(C39&gt;C41,"BELOW INCOME REQUIRED","Proceed To Affordability"))</f>
        <v>#DIV/0!</v>
      </c>
      <c r="H41" s="220"/>
      <c r="I41" s="546" t="s">
        <v>569</v>
      </c>
      <c r="J41" s="543"/>
      <c r="K41" s="549" t="e">
        <f>((($C$33+$G$33+$K$33+$O$33)*12)+($C$34+G34+K34+O34))/(C30+G30+K30+O30)</f>
        <v>#DIV/0!</v>
      </c>
      <c r="L41" s="487"/>
      <c r="M41" s="487"/>
      <c r="N41" s="487"/>
    </row>
    <row r="42" spans="2:28" ht="15.75" thickBot="1" x14ac:dyDescent="0.3">
      <c r="B42" s="46"/>
      <c r="D42" s="553"/>
      <c r="E42" s="539"/>
      <c r="F42" s="554"/>
      <c r="G42" s="539"/>
      <c r="H42" s="539"/>
      <c r="I42" s="543"/>
      <c r="J42" s="543"/>
      <c r="K42" s="543"/>
      <c r="L42" s="487"/>
      <c r="M42" s="487"/>
      <c r="N42" s="487"/>
    </row>
    <row r="43" spans="2:28" ht="15.75" thickBot="1" x14ac:dyDescent="0.3">
      <c r="B43" s="46" t="s">
        <v>164</v>
      </c>
      <c r="C43" s="204"/>
      <c r="D43" s="539"/>
      <c r="E43" s="539"/>
      <c r="F43" s="539"/>
      <c r="G43" s="539"/>
      <c r="H43" s="539"/>
      <c r="I43" s="539"/>
      <c r="J43" s="539"/>
      <c r="K43" s="539"/>
    </row>
    <row r="44" spans="2:28" ht="15.75" thickBot="1" x14ac:dyDescent="0.3">
      <c r="B44" s="46"/>
      <c r="D44" s="543"/>
      <c r="E44" s="543"/>
      <c r="F44" s="543"/>
      <c r="G44" s="543"/>
      <c r="H44" s="543"/>
      <c r="I44" s="539"/>
      <c r="J44" s="539"/>
      <c r="K44" s="539"/>
    </row>
    <row r="45" spans="2:28" ht="40.5" customHeight="1" thickBot="1" x14ac:dyDescent="0.3">
      <c r="B45" s="46" t="s">
        <v>581</v>
      </c>
      <c r="C45" s="199"/>
      <c r="D45" s="742" t="s">
        <v>314</v>
      </c>
      <c r="E45" s="742"/>
      <c r="F45" s="742"/>
      <c r="G45" s="555" t="e">
        <f>_xlfn.IFS(C45="interest only",IF(C49=C39,"","Error"),C45="capital repayment",IF(C47=C39,"","Error"),C45="Part capital repayment/Part interest only",IF(AND(C47&gt;0,C49&gt;0,C39-C47-C49=0),"","Error"))</f>
        <v>#N/A</v>
      </c>
      <c r="H45" s="543"/>
      <c r="I45" s="539"/>
      <c r="J45" s="539"/>
      <c r="K45" s="539"/>
    </row>
    <row r="46" spans="2:28" ht="15.75" thickBot="1" x14ac:dyDescent="0.3">
      <c r="B46" s="46"/>
      <c r="D46" s="539"/>
      <c r="E46" s="539"/>
      <c r="F46" s="539"/>
      <c r="G46" s="539"/>
      <c r="H46" s="539"/>
      <c r="I46" s="539"/>
      <c r="J46" s="539"/>
      <c r="K46" s="539"/>
    </row>
    <row r="47" spans="2:28" ht="30.75" customHeight="1" thickBot="1" x14ac:dyDescent="0.3">
      <c r="B47" s="46" t="s">
        <v>337</v>
      </c>
      <c r="C47" s="560">
        <f>$C$39-$C$49</f>
        <v>0</v>
      </c>
      <c r="D47" s="241"/>
      <c r="E47" s="241"/>
      <c r="Q47" s="487"/>
      <c r="R47" s="487"/>
      <c r="S47" s="494"/>
      <c r="T47" s="495"/>
      <c r="U47" s="495"/>
      <c r="V47" s="495"/>
      <c r="W47" s="495"/>
      <c r="X47" s="496"/>
      <c r="Y47" s="489"/>
      <c r="Z47" s="487"/>
      <c r="AA47" s="487"/>
      <c r="AB47" s="487"/>
    </row>
    <row r="48" spans="2:28" ht="15.75" customHeight="1" thickBot="1" x14ac:dyDescent="0.3">
      <c r="B48" s="46"/>
      <c r="C48" s="242"/>
      <c r="D48" s="241"/>
      <c r="E48" s="241"/>
      <c r="Q48" s="487"/>
      <c r="R48" s="487"/>
      <c r="S48" s="494"/>
      <c r="T48" s="495"/>
      <c r="U48" s="495"/>
      <c r="V48" s="495"/>
      <c r="W48" s="495"/>
      <c r="X48" s="496"/>
      <c r="Y48" s="489"/>
      <c r="Z48" s="487"/>
      <c r="AA48" s="487"/>
      <c r="AB48" s="487"/>
    </row>
    <row r="49" spans="1:28" ht="42" customHeight="1" thickBot="1" x14ac:dyDescent="0.3">
      <c r="B49" s="46" t="s">
        <v>338</v>
      </c>
      <c r="C49" s="69"/>
      <c r="Q49" s="487"/>
      <c r="R49" s="487"/>
      <c r="S49" s="494"/>
      <c r="T49" s="497"/>
      <c r="U49" s="495"/>
      <c r="V49" s="495"/>
      <c r="W49" s="495"/>
      <c r="X49" s="751" t="s">
        <v>290</v>
      </c>
      <c r="Y49" s="751"/>
      <c r="Z49" s="751"/>
      <c r="AA49" s="487"/>
      <c r="AB49" s="487"/>
    </row>
    <row r="50" spans="1:28" ht="15.75" thickBot="1" x14ac:dyDescent="0.3">
      <c r="B50" s="46"/>
      <c r="Q50" s="487"/>
      <c r="R50" s="487"/>
      <c r="S50" s="494"/>
      <c r="T50" s="495"/>
      <c r="U50" s="495"/>
      <c r="V50" s="495"/>
      <c r="W50" s="495"/>
      <c r="X50" s="751"/>
      <c r="Y50" s="751"/>
      <c r="Z50" s="751"/>
      <c r="AA50" s="487"/>
      <c r="AB50" s="487"/>
    </row>
    <row r="51" spans="1:28" ht="32.25" customHeight="1" thickBot="1" x14ac:dyDescent="0.3">
      <c r="B51" s="46" t="s">
        <v>311</v>
      </c>
      <c r="C51" s="70"/>
      <c r="Q51" s="487"/>
      <c r="R51" s="487"/>
      <c r="S51" s="494"/>
      <c r="T51" s="495"/>
      <c r="U51" s="495"/>
      <c r="V51" s="495"/>
      <c r="W51" s="495"/>
      <c r="X51" s="750" t="s">
        <v>568</v>
      </c>
      <c r="Y51" s="750" t="s">
        <v>324</v>
      </c>
      <c r="Z51" s="755" t="s">
        <v>326</v>
      </c>
      <c r="AA51" s="487"/>
      <c r="AB51" s="487"/>
    </row>
    <row r="52" spans="1:28" ht="15.75" customHeight="1" thickBot="1" x14ac:dyDescent="0.3">
      <c r="B52" s="46" t="s">
        <v>584</v>
      </c>
      <c r="C52" s="200"/>
      <c r="Q52" s="487"/>
      <c r="R52" s="498" t="s">
        <v>575</v>
      </c>
      <c r="S52" s="499"/>
      <c r="T52" s="756" t="s">
        <v>327</v>
      </c>
      <c r="U52" s="756"/>
      <c r="V52" s="756"/>
      <c r="W52" s="756"/>
      <c r="X52" s="750"/>
      <c r="Y52" s="750"/>
      <c r="Z52" s="755"/>
      <c r="AA52" s="487"/>
      <c r="AB52" s="487"/>
    </row>
    <row r="53" spans="1:28" ht="15.75" thickBot="1" x14ac:dyDescent="0.3">
      <c r="B53" s="46"/>
      <c r="Q53" s="487"/>
      <c r="R53" s="487"/>
      <c r="S53" s="494"/>
      <c r="T53" s="488" t="s">
        <v>570</v>
      </c>
      <c r="U53" s="488" t="s">
        <v>571</v>
      </c>
      <c r="V53" s="488" t="s">
        <v>572</v>
      </c>
      <c r="W53" s="488" t="s">
        <v>573</v>
      </c>
      <c r="X53" s="496"/>
      <c r="Y53" s="489"/>
      <c r="Z53" s="487"/>
      <c r="AA53" s="487"/>
      <c r="AB53" s="487"/>
    </row>
    <row r="54" spans="1:28" ht="15.75" thickBot="1" x14ac:dyDescent="0.3">
      <c r="B54" s="243" t="s">
        <v>141</v>
      </c>
      <c r="C54" s="67"/>
      <c r="D54" s="48"/>
      <c r="E54" s="48"/>
      <c r="F54" s="48"/>
      <c r="G54" s="67"/>
      <c r="H54" s="49"/>
      <c r="K54" s="67"/>
      <c r="O54" s="67"/>
      <c r="Q54" s="487"/>
      <c r="R54" s="499" t="s">
        <v>315</v>
      </c>
      <c r="S54" s="500">
        <f>C54+G54+K54+O54</f>
        <v>0</v>
      </c>
      <c r="T54" s="501"/>
      <c r="U54" s="495"/>
      <c r="V54" s="495"/>
      <c r="W54" s="495"/>
      <c r="X54" s="502">
        <f>S54</f>
        <v>0</v>
      </c>
      <c r="Y54" s="745" t="s">
        <v>328</v>
      </c>
      <c r="Z54" s="745"/>
      <c r="AA54" s="487"/>
      <c r="AB54" s="487"/>
    </row>
    <row r="55" spans="1:28" x14ac:dyDescent="0.25">
      <c r="B55" s="46"/>
      <c r="C55" s="48"/>
      <c r="D55" s="48"/>
      <c r="E55" s="48"/>
      <c r="F55" s="48"/>
      <c r="G55" s="48"/>
      <c r="H55" s="48"/>
      <c r="K55" s="48"/>
      <c r="O55" s="48"/>
      <c r="Q55" s="487"/>
      <c r="R55" s="498"/>
      <c r="S55" s="500"/>
      <c r="T55" s="501"/>
      <c r="U55" s="495"/>
      <c r="V55" s="495"/>
      <c r="W55" s="495"/>
      <c r="X55" s="491"/>
      <c r="Y55" s="489"/>
      <c r="Z55" s="487"/>
      <c r="AA55" s="487"/>
      <c r="AB55" s="487"/>
    </row>
    <row r="56" spans="1:28" hidden="1" x14ac:dyDescent="0.25">
      <c r="A56" s="487"/>
      <c r="B56" s="498" t="s">
        <v>142</v>
      </c>
      <c r="C56" s="512"/>
      <c r="D56" s="512"/>
      <c r="E56" s="512"/>
      <c r="F56" s="512"/>
      <c r="G56" s="512"/>
      <c r="H56" s="512"/>
      <c r="I56" s="487"/>
      <c r="J56" s="487"/>
      <c r="K56" s="512"/>
      <c r="L56" s="487"/>
      <c r="M56" s="487"/>
      <c r="N56" s="487"/>
      <c r="O56" s="512"/>
      <c r="Q56" s="487"/>
      <c r="R56" s="498"/>
      <c r="S56" s="494"/>
      <c r="T56" s="495"/>
      <c r="U56" s="495"/>
      <c r="V56" s="495"/>
      <c r="W56" s="495"/>
      <c r="X56" s="491"/>
      <c r="Y56" s="489"/>
      <c r="Z56" s="487"/>
      <c r="AA56" s="487"/>
      <c r="AB56" s="487"/>
    </row>
    <row r="57" spans="1:28" ht="15.75" hidden="1" customHeight="1" thickBot="1" x14ac:dyDescent="0.25">
      <c r="A57" s="487"/>
      <c r="B57" s="498" t="s">
        <v>274</v>
      </c>
      <c r="C57" s="491"/>
      <c r="D57" s="512"/>
      <c r="E57" s="512"/>
      <c r="F57" s="512"/>
      <c r="G57" s="512"/>
      <c r="H57" s="512"/>
      <c r="I57" s="487"/>
      <c r="J57" s="487"/>
      <c r="K57" s="512"/>
      <c r="L57" s="487"/>
      <c r="M57" s="487"/>
      <c r="N57" s="487"/>
      <c r="O57" s="512"/>
      <c r="Q57" s="487"/>
      <c r="R57" s="503"/>
      <c r="S57" s="494"/>
      <c r="T57" s="495"/>
      <c r="U57" s="495"/>
      <c r="V57" s="495"/>
      <c r="W57" s="495"/>
      <c r="X57" s="491"/>
      <c r="Y57" s="489"/>
      <c r="Z57" s="487"/>
      <c r="AA57" s="487"/>
      <c r="AB57" s="487"/>
    </row>
    <row r="58" spans="1:28" ht="15.75" hidden="1" customHeight="1" thickBot="1" x14ac:dyDescent="0.25">
      <c r="A58" s="487"/>
      <c r="B58" s="498" t="s">
        <v>277</v>
      </c>
      <c r="C58" s="491"/>
      <c r="D58" s="512"/>
      <c r="E58" s="512"/>
      <c r="F58" s="512"/>
      <c r="G58" s="512"/>
      <c r="H58" s="512"/>
      <c r="I58" s="487"/>
      <c r="J58" s="487"/>
      <c r="K58" s="512"/>
      <c r="L58" s="487"/>
      <c r="M58" s="487"/>
      <c r="N58" s="487"/>
      <c r="O58" s="512"/>
      <c r="Q58" s="487"/>
      <c r="R58" s="503"/>
      <c r="S58" s="494"/>
      <c r="T58" s="495"/>
      <c r="U58" s="495"/>
      <c r="V58" s="495"/>
      <c r="W58" s="495"/>
      <c r="X58" s="491"/>
      <c r="Y58" s="489"/>
      <c r="Z58" s="487"/>
      <c r="AA58" s="487"/>
      <c r="AB58" s="487"/>
    </row>
    <row r="59" spans="1:28" ht="15.75" hidden="1" customHeight="1" x14ac:dyDescent="0.25">
      <c r="A59" s="496">
        <v>1</v>
      </c>
      <c r="B59" s="498" t="s">
        <v>160</v>
      </c>
      <c r="C59" s="517"/>
      <c r="D59" s="512"/>
      <c r="E59" s="512"/>
      <c r="F59" s="512"/>
      <c r="G59" s="517"/>
      <c r="H59" s="487"/>
      <c r="I59" s="487"/>
      <c r="J59" s="487"/>
      <c r="K59" s="517"/>
      <c r="L59" s="487"/>
      <c r="M59" s="487"/>
      <c r="N59" s="487"/>
      <c r="O59" s="517"/>
      <c r="Q59" s="487"/>
      <c r="R59" s="503" t="s">
        <v>574</v>
      </c>
      <c r="S59" s="500">
        <f>SUM(C59:O60)+SUM(C62:O64)</f>
        <v>0</v>
      </c>
      <c r="T59" s="504" t="str">
        <f>IF(C20=0,"",HLOOKUP($C$16, Data!$D$3:$N$17, 10, FALSE)*C20)</f>
        <v/>
      </c>
      <c r="U59" s="505" t="str">
        <f>IF(G20=0,"",HLOOKUP($G$16, Data!$D$3:$N$17, 10, FALSE)*G20)</f>
        <v/>
      </c>
      <c r="V59" s="505" t="str">
        <f>IF(K20=0,"",HLOOKUP($K$16, Data!$D$3:$N$17, 10, FALSE)*K20)</f>
        <v/>
      </c>
      <c r="W59" s="505" t="str">
        <f>IF(O20=0,"",HLOOKUP($O$16, Data!$D$3:$N$17, 10, FALSE)*O20)</f>
        <v/>
      </c>
      <c r="X59" s="506">
        <f>SUM(T59:W59)</f>
        <v>0</v>
      </c>
      <c r="Y59" s="492" t="e">
        <f>S59/X59</f>
        <v>#DIV/0!</v>
      </c>
      <c r="Z59" s="487" t="e">
        <f>IF(Y59&lt;=105%,"Review.","Do not Review")</f>
        <v>#DIV/0!</v>
      </c>
      <c r="AA59" s="487"/>
      <c r="AB59" s="487"/>
    </row>
    <row r="60" spans="1:28" ht="15.75" hidden="1" customHeight="1" x14ac:dyDescent="0.25">
      <c r="A60" s="496">
        <v>2</v>
      </c>
      <c r="B60" s="498" t="s">
        <v>143</v>
      </c>
      <c r="C60" s="517"/>
      <c r="D60" s="512"/>
      <c r="E60" s="512"/>
      <c r="F60" s="512"/>
      <c r="G60" s="517"/>
      <c r="H60" s="516"/>
      <c r="I60" s="518"/>
      <c r="J60" s="487"/>
      <c r="K60" s="517"/>
      <c r="L60" s="487"/>
      <c r="M60" s="487"/>
      <c r="N60" s="487"/>
      <c r="O60" s="517"/>
      <c r="Q60" s="487"/>
      <c r="R60" s="503"/>
      <c r="S60" s="500"/>
      <c r="T60" s="495"/>
      <c r="U60" s="495"/>
      <c r="V60" s="495"/>
      <c r="W60" s="495"/>
      <c r="X60" s="491"/>
      <c r="Y60" s="489"/>
      <c r="Z60" s="487"/>
      <c r="AA60" s="487"/>
      <c r="AB60" s="487"/>
    </row>
    <row r="61" spans="1:28" hidden="1" x14ac:dyDescent="0.25">
      <c r="A61" s="496">
        <v>3</v>
      </c>
      <c r="B61" s="498" t="s">
        <v>161</v>
      </c>
      <c r="C61" s="517"/>
      <c r="D61" s="512"/>
      <c r="E61" s="512"/>
      <c r="F61" s="512"/>
      <c r="G61" s="517"/>
      <c r="H61" s="516"/>
      <c r="I61" s="487"/>
      <c r="J61" s="487"/>
      <c r="K61" s="517"/>
      <c r="L61" s="487"/>
      <c r="M61" s="487"/>
      <c r="N61" s="487"/>
      <c r="O61" s="517"/>
      <c r="Q61" s="487"/>
      <c r="R61" s="498" t="s">
        <v>316</v>
      </c>
      <c r="S61" s="500">
        <f>C61+G61+K61+O61</f>
        <v>0</v>
      </c>
      <c r="T61" s="493" t="str">
        <f>IF(C20=0,"",'Council tax'!C36)</f>
        <v/>
      </c>
      <c r="U61" s="493" t="str">
        <f>IF(G20=0,"",'Council tax'!D36)</f>
        <v/>
      </c>
      <c r="V61" s="493" t="str">
        <f>IF(K20=0,"",'Council tax'!E36)</f>
        <v/>
      </c>
      <c r="W61" s="493" t="str">
        <f>IF(O20=0,"",'Council tax'!F36)</f>
        <v/>
      </c>
      <c r="X61" s="507">
        <f>SUM(T61:W61)</f>
        <v>0</v>
      </c>
      <c r="Y61" s="492" t="e">
        <f>S61/X61</f>
        <v>#DIV/0!</v>
      </c>
      <c r="Z61" s="487" t="e">
        <f>IF(Y61&lt;=105%,"Review.","Do not Review")</f>
        <v>#DIV/0!</v>
      </c>
      <c r="AA61" s="487"/>
      <c r="AB61" s="487"/>
    </row>
    <row r="62" spans="1:28" hidden="1" x14ac:dyDescent="0.25">
      <c r="A62" s="496">
        <v>4</v>
      </c>
      <c r="B62" s="498" t="s">
        <v>145</v>
      </c>
      <c r="C62" s="517"/>
      <c r="D62" s="512"/>
      <c r="E62" s="512"/>
      <c r="F62" s="512"/>
      <c r="G62" s="517"/>
      <c r="H62" s="516"/>
      <c r="I62" s="487"/>
      <c r="J62" s="487"/>
      <c r="K62" s="517"/>
      <c r="L62" s="487"/>
      <c r="M62" s="487"/>
      <c r="N62" s="487"/>
      <c r="O62" s="517"/>
      <c r="Q62" s="487"/>
      <c r="R62" s="498"/>
      <c r="S62" s="494"/>
      <c r="T62" s="495"/>
      <c r="U62" s="495"/>
      <c r="V62" s="495"/>
      <c r="W62" s="495"/>
      <c r="X62" s="491"/>
      <c r="Y62" s="489"/>
      <c r="Z62" s="487"/>
      <c r="AA62" s="487"/>
      <c r="AB62" s="487"/>
    </row>
    <row r="63" spans="1:28" hidden="1" x14ac:dyDescent="0.25">
      <c r="A63" s="496">
        <v>5</v>
      </c>
      <c r="B63" s="503" t="s">
        <v>144</v>
      </c>
      <c r="C63" s="517"/>
      <c r="D63" s="512"/>
      <c r="E63" s="512"/>
      <c r="F63" s="512"/>
      <c r="G63" s="517"/>
      <c r="H63" s="516"/>
      <c r="I63" s="487"/>
      <c r="J63" s="487"/>
      <c r="K63" s="517"/>
      <c r="L63" s="487"/>
      <c r="M63" s="487"/>
      <c r="N63" s="487"/>
      <c r="O63" s="517"/>
      <c r="Q63" s="487"/>
      <c r="R63" s="498"/>
      <c r="S63" s="494"/>
      <c r="T63" s="495"/>
      <c r="U63" s="495"/>
      <c r="V63" s="495"/>
      <c r="W63" s="495"/>
      <c r="X63" s="491"/>
      <c r="Y63" s="489"/>
      <c r="Z63" s="487"/>
      <c r="AA63" s="487"/>
      <c r="AB63" s="487"/>
    </row>
    <row r="64" spans="1:28" ht="30" hidden="1" x14ac:dyDescent="0.25">
      <c r="A64" s="496">
        <v>6</v>
      </c>
      <c r="B64" s="503" t="s">
        <v>146</v>
      </c>
      <c r="C64" s="517"/>
      <c r="D64" s="512"/>
      <c r="E64" s="512"/>
      <c r="F64" s="512"/>
      <c r="G64" s="517"/>
      <c r="H64" s="516"/>
      <c r="I64" s="487"/>
      <c r="J64" s="487"/>
      <c r="K64" s="517"/>
      <c r="L64" s="487"/>
      <c r="M64" s="487"/>
      <c r="N64" s="487"/>
      <c r="O64" s="517"/>
      <c r="Q64" s="487"/>
      <c r="R64" s="498"/>
      <c r="S64" s="494"/>
      <c r="T64" s="495"/>
      <c r="U64" s="495"/>
      <c r="V64" s="495"/>
      <c r="W64" s="495"/>
      <c r="X64" s="491"/>
      <c r="Y64" s="489"/>
      <c r="Z64" s="487"/>
      <c r="AA64" s="487"/>
      <c r="AB64" s="487"/>
    </row>
    <row r="65" spans="1:28" hidden="1" x14ac:dyDescent="0.25">
      <c r="A65" s="496">
        <v>7</v>
      </c>
      <c r="B65" s="503" t="s">
        <v>147</v>
      </c>
      <c r="C65" s="517"/>
      <c r="D65" s="512"/>
      <c r="E65" s="512"/>
      <c r="F65" s="512"/>
      <c r="G65" s="517"/>
      <c r="H65" s="516"/>
      <c r="I65" s="487"/>
      <c r="J65" s="487"/>
      <c r="K65" s="517"/>
      <c r="L65" s="487"/>
      <c r="M65" s="487"/>
      <c r="N65" s="487"/>
      <c r="O65" s="517"/>
      <c r="Q65" s="487"/>
      <c r="R65" s="498" t="s">
        <v>317</v>
      </c>
      <c r="S65" s="500">
        <f>C65+G65+K65+O65</f>
        <v>0</v>
      </c>
      <c r="T65" s="493" t="str">
        <f>IF(C20=0,"",HLOOKUP($C$16, Data!$D$3:$N$17, 5, FALSE)*C20)</f>
        <v/>
      </c>
      <c r="U65" s="493" t="str">
        <f>IF(G20=0,"",HLOOKUP($G$16, Data!$D$3:$N$17, 5, FALSE)*G20)</f>
        <v/>
      </c>
      <c r="V65" s="493" t="str">
        <f>IF(K20=0,"",HLOOKUP($K$16, Data!$D$3:$N$17, 5, FALSE)*K20)</f>
        <v/>
      </c>
      <c r="W65" s="493" t="str">
        <f>IF(O20=0,"",HLOOKUP($O$16, Data!$D$3:$N$17, 5, FALSE)*O20)</f>
        <v/>
      </c>
      <c r="X65" s="507">
        <f>SUM(T65:W65)</f>
        <v>0</v>
      </c>
      <c r="Y65" s="492" t="e">
        <f>S65/X65</f>
        <v>#DIV/0!</v>
      </c>
      <c r="Z65" s="487" t="e">
        <f>IF(Y65&lt;=105%,"Review.","Do not Review")</f>
        <v>#DIV/0!</v>
      </c>
      <c r="AA65" s="487"/>
      <c r="AB65" s="487"/>
    </row>
    <row r="66" spans="1:28" hidden="1" x14ac:dyDescent="0.25">
      <c r="A66" s="496">
        <v>8</v>
      </c>
      <c r="B66" s="498" t="s">
        <v>148</v>
      </c>
      <c r="C66" s="517"/>
      <c r="D66" s="512"/>
      <c r="E66" s="512"/>
      <c r="F66" s="512"/>
      <c r="G66" s="517"/>
      <c r="H66" s="516"/>
      <c r="I66" s="487"/>
      <c r="J66" s="487"/>
      <c r="K66" s="517"/>
      <c r="L66" s="487"/>
      <c r="M66" s="487"/>
      <c r="N66" s="487"/>
      <c r="O66" s="517"/>
      <c r="Q66" s="487"/>
      <c r="R66" s="498" t="s">
        <v>148</v>
      </c>
      <c r="S66" s="508">
        <f>C66+G66+K66+O66</f>
        <v>0</v>
      </c>
      <c r="T66" s="495"/>
      <c r="U66" s="495"/>
      <c r="V66" s="495"/>
      <c r="W66" s="495"/>
      <c r="X66" s="491"/>
      <c r="Y66" s="745" t="s">
        <v>325</v>
      </c>
      <c r="Z66" s="745"/>
      <c r="AA66" s="487"/>
      <c r="AB66" s="487"/>
    </row>
    <row r="67" spans="1:28" hidden="1" x14ac:dyDescent="0.25">
      <c r="A67" s="496"/>
      <c r="B67" s="498"/>
      <c r="C67" s="512"/>
      <c r="D67" s="512"/>
      <c r="E67" s="512"/>
      <c r="F67" s="512"/>
      <c r="G67" s="512"/>
      <c r="H67" s="512"/>
      <c r="I67" s="487"/>
      <c r="J67" s="487"/>
      <c r="K67" s="512"/>
      <c r="L67" s="487"/>
      <c r="M67" s="487"/>
      <c r="N67" s="487"/>
      <c r="O67" s="512"/>
      <c r="Q67" s="487"/>
      <c r="R67" s="498"/>
      <c r="S67" s="494"/>
      <c r="T67" s="495"/>
      <c r="U67" s="495"/>
      <c r="V67" s="495"/>
      <c r="W67" s="495"/>
      <c r="X67" s="491"/>
      <c r="Y67" s="489"/>
      <c r="Z67" s="487"/>
      <c r="AA67" s="487"/>
      <c r="AB67" s="487"/>
    </row>
    <row r="68" spans="1:28" hidden="1" x14ac:dyDescent="0.25">
      <c r="A68" s="496"/>
      <c r="B68" s="498" t="s">
        <v>135</v>
      </c>
      <c r="C68" s="512"/>
      <c r="D68" s="512"/>
      <c r="E68" s="512"/>
      <c r="F68" s="512"/>
      <c r="G68" s="512"/>
      <c r="H68" s="512"/>
      <c r="I68" s="487"/>
      <c r="J68" s="487"/>
      <c r="K68" s="512"/>
      <c r="L68" s="487"/>
      <c r="M68" s="487"/>
      <c r="N68" s="487"/>
      <c r="O68" s="512"/>
      <c r="Q68" s="487"/>
      <c r="R68" s="498"/>
      <c r="S68" s="494"/>
      <c r="T68" s="495"/>
      <c r="U68" s="495"/>
      <c r="V68" s="495"/>
      <c r="W68" s="495"/>
      <c r="X68" s="491"/>
      <c r="Y68" s="489"/>
      <c r="Z68" s="487"/>
      <c r="AA68" s="487"/>
      <c r="AB68" s="487"/>
    </row>
    <row r="69" spans="1:28" hidden="1" x14ac:dyDescent="0.25">
      <c r="A69" s="496">
        <v>1</v>
      </c>
      <c r="B69" s="498" t="s">
        <v>149</v>
      </c>
      <c r="C69" s="517"/>
      <c r="D69" s="512"/>
      <c r="E69" s="512"/>
      <c r="F69" s="512"/>
      <c r="G69" s="517"/>
      <c r="H69" s="516"/>
      <c r="I69" s="487"/>
      <c r="J69" s="487"/>
      <c r="K69" s="517"/>
      <c r="L69" s="487"/>
      <c r="M69" s="487"/>
      <c r="N69" s="487"/>
      <c r="O69" s="517"/>
      <c r="Q69" s="487"/>
      <c r="R69" s="498" t="s">
        <v>318</v>
      </c>
      <c r="S69" s="500">
        <f>SUM(C69:O72)</f>
        <v>0</v>
      </c>
      <c r="T69" s="493" t="str">
        <f>IF(C20=0,"",HLOOKUP($C$16, Data!$D$3:$N$17, 12, FALSE)*C20)</f>
        <v/>
      </c>
      <c r="U69" s="493" t="str">
        <f>IF(G20=0,"",HLOOKUP($G$16, Data!$D$3:$N$17, 12, FALSE)*G20)</f>
        <v/>
      </c>
      <c r="V69" s="493" t="str">
        <f>IF(K20=0,"",HLOOKUP($K$16, Data!$D$3:$N$17, 12, FALSE)*K20)</f>
        <v/>
      </c>
      <c r="W69" s="493" t="str">
        <f>IF(O20=0,"",HLOOKUP($O$16, Data!$D$3:$N$17, 12, FALSE)*O20)</f>
        <v/>
      </c>
      <c r="X69" s="507">
        <f>SUM(T69:W69)</f>
        <v>0</v>
      </c>
      <c r="Y69" s="492" t="e">
        <f>S69/X69</f>
        <v>#DIV/0!</v>
      </c>
      <c r="Z69" s="487" t="e">
        <f>IF(Y69&lt;=105%,"Review.","Do not Review")</f>
        <v>#DIV/0!</v>
      </c>
      <c r="AA69" s="487"/>
      <c r="AB69" s="487"/>
    </row>
    <row r="70" spans="1:28" hidden="1" x14ac:dyDescent="0.25">
      <c r="A70" s="496">
        <v>2</v>
      </c>
      <c r="B70" s="503" t="s">
        <v>150</v>
      </c>
      <c r="C70" s="517"/>
      <c r="D70" s="512"/>
      <c r="E70" s="512"/>
      <c r="F70" s="512"/>
      <c r="G70" s="517"/>
      <c r="H70" s="516"/>
      <c r="I70" s="487"/>
      <c r="J70" s="487"/>
      <c r="K70" s="517"/>
      <c r="L70" s="487"/>
      <c r="M70" s="487"/>
      <c r="N70" s="487"/>
      <c r="O70" s="517"/>
      <c r="Q70" s="487"/>
      <c r="R70" s="498"/>
      <c r="S70" s="494"/>
      <c r="T70" s="495"/>
      <c r="U70" s="495"/>
      <c r="V70" s="495"/>
      <c r="W70" s="495"/>
      <c r="X70" s="491"/>
      <c r="Y70" s="489"/>
      <c r="Z70" s="487"/>
      <c r="AA70" s="487"/>
      <c r="AB70" s="487"/>
    </row>
    <row r="71" spans="1:28" hidden="1" x14ac:dyDescent="0.25">
      <c r="A71" s="496">
        <v>3</v>
      </c>
      <c r="B71" s="498" t="s">
        <v>151</v>
      </c>
      <c r="C71" s="517"/>
      <c r="D71" s="512"/>
      <c r="E71" s="512"/>
      <c r="F71" s="512"/>
      <c r="G71" s="517"/>
      <c r="H71" s="516"/>
      <c r="I71" s="487"/>
      <c r="J71" s="487"/>
      <c r="K71" s="517"/>
      <c r="L71" s="487"/>
      <c r="M71" s="487"/>
      <c r="N71" s="487"/>
      <c r="O71" s="517"/>
      <c r="Q71" s="487"/>
      <c r="R71" s="498"/>
      <c r="S71" s="494"/>
      <c r="T71" s="495"/>
      <c r="U71" s="495"/>
      <c r="V71" s="495"/>
      <c r="W71" s="495"/>
      <c r="X71" s="491"/>
      <c r="Y71" s="489"/>
      <c r="Z71" s="487"/>
      <c r="AA71" s="487"/>
      <c r="AB71" s="487"/>
    </row>
    <row r="72" spans="1:28" ht="30" hidden="1" x14ac:dyDescent="0.25">
      <c r="A72" s="496">
        <v>4</v>
      </c>
      <c r="B72" s="503" t="s">
        <v>152</v>
      </c>
      <c r="C72" s="517"/>
      <c r="D72" s="512"/>
      <c r="E72" s="512"/>
      <c r="F72" s="512"/>
      <c r="G72" s="517"/>
      <c r="H72" s="516"/>
      <c r="I72" s="487"/>
      <c r="J72" s="487"/>
      <c r="K72" s="517"/>
      <c r="L72" s="487"/>
      <c r="M72" s="487"/>
      <c r="N72" s="487"/>
      <c r="O72" s="517"/>
      <c r="Q72" s="487"/>
      <c r="R72" s="498"/>
      <c r="S72" s="494"/>
      <c r="T72" s="495"/>
      <c r="U72" s="495"/>
      <c r="V72" s="495"/>
      <c r="W72" s="495"/>
      <c r="X72" s="491"/>
      <c r="Y72" s="489"/>
      <c r="Z72" s="487"/>
      <c r="AA72" s="487"/>
      <c r="AB72" s="487"/>
    </row>
    <row r="73" spans="1:28" hidden="1" x14ac:dyDescent="0.25">
      <c r="A73" s="496"/>
      <c r="B73" s="498"/>
      <c r="C73" s="512"/>
      <c r="D73" s="512"/>
      <c r="E73" s="512"/>
      <c r="F73" s="512"/>
      <c r="G73" s="512"/>
      <c r="H73" s="512"/>
      <c r="I73" s="487"/>
      <c r="J73" s="487"/>
      <c r="K73" s="512"/>
      <c r="L73" s="487"/>
      <c r="M73" s="487"/>
      <c r="N73" s="487"/>
      <c r="O73" s="512"/>
      <c r="Q73" s="487"/>
      <c r="R73" s="498"/>
      <c r="S73" s="494"/>
      <c r="T73" s="495"/>
      <c r="U73" s="495"/>
      <c r="V73" s="495"/>
      <c r="W73" s="495"/>
      <c r="X73" s="491"/>
      <c r="Y73" s="489"/>
      <c r="Z73" s="487"/>
      <c r="AA73" s="487"/>
      <c r="AB73" s="487"/>
    </row>
    <row r="74" spans="1:28" hidden="1" x14ac:dyDescent="0.25">
      <c r="A74" s="496"/>
      <c r="B74" s="498" t="s">
        <v>153</v>
      </c>
      <c r="C74" s="512"/>
      <c r="D74" s="512"/>
      <c r="E74" s="512"/>
      <c r="F74" s="512"/>
      <c r="G74" s="512"/>
      <c r="H74" s="512"/>
      <c r="I74" s="487"/>
      <c r="J74" s="487"/>
      <c r="K74" s="512"/>
      <c r="L74" s="487"/>
      <c r="M74" s="487"/>
      <c r="N74" s="487"/>
      <c r="O74" s="512"/>
      <c r="Q74" s="487"/>
      <c r="R74" s="498"/>
      <c r="S74" s="494"/>
      <c r="T74" s="495"/>
      <c r="U74" s="495"/>
      <c r="V74" s="495"/>
      <c r="W74" s="495"/>
      <c r="X74" s="491"/>
      <c r="Y74" s="489"/>
      <c r="Z74" s="487"/>
      <c r="AA74" s="487"/>
      <c r="AB74" s="487"/>
    </row>
    <row r="75" spans="1:28" hidden="1" x14ac:dyDescent="0.25">
      <c r="A75" s="496">
        <v>1</v>
      </c>
      <c r="B75" s="498" t="s">
        <v>154</v>
      </c>
      <c r="C75" s="517"/>
      <c r="D75" s="512"/>
      <c r="E75" s="512"/>
      <c r="F75" s="512"/>
      <c r="G75" s="517"/>
      <c r="H75" s="516"/>
      <c r="I75" s="487"/>
      <c r="J75" s="487"/>
      <c r="K75" s="517"/>
      <c r="L75" s="487"/>
      <c r="M75" s="487"/>
      <c r="N75" s="487"/>
      <c r="O75" s="517"/>
      <c r="Q75" s="487"/>
      <c r="R75" s="498" t="s">
        <v>319</v>
      </c>
      <c r="S75" s="508">
        <f>C75+G75+K75+O75</f>
        <v>0</v>
      </c>
      <c r="T75" s="493" t="str">
        <f>IF(C20=0,"",HLOOKUP($C$16, Data!$D$3:$N$17, 7, FALSE)*C20)</f>
        <v/>
      </c>
      <c r="U75" s="493" t="str">
        <f>IF(G20=0,"",HLOOKUP($G$16, Data!$D$3:$N$17, 7, FALSE)*G20)</f>
        <v/>
      </c>
      <c r="V75" s="493" t="str">
        <f>IF(K20=0,"",HLOOKUP($K$16, Data!$D$3:$N$17, 7, FALSE)*K20)</f>
        <v/>
      </c>
      <c r="W75" s="493" t="str">
        <f>IF(O20=0,"",HLOOKUP($O$16, Data!$D$3:$N$17, 7, FALSE)*O20)</f>
        <v/>
      </c>
      <c r="X75" s="507">
        <f>SUM(T75:W75)</f>
        <v>0</v>
      </c>
      <c r="Y75" s="492" t="e">
        <f>S75/X75</f>
        <v>#DIV/0!</v>
      </c>
      <c r="Z75" s="487" t="e">
        <f>IF(Y75&lt;=105%,"Review.","Do not Review")</f>
        <v>#DIV/0!</v>
      </c>
      <c r="AA75" s="487"/>
      <c r="AB75" s="487"/>
    </row>
    <row r="76" spans="1:28" hidden="1" x14ac:dyDescent="0.25">
      <c r="A76" s="496">
        <v>2</v>
      </c>
      <c r="B76" s="498" t="s">
        <v>155</v>
      </c>
      <c r="C76" s="517"/>
      <c r="D76" s="512"/>
      <c r="E76" s="512"/>
      <c r="F76" s="512"/>
      <c r="G76" s="517"/>
      <c r="H76" s="516"/>
      <c r="I76" s="487"/>
      <c r="J76" s="487"/>
      <c r="K76" s="517"/>
      <c r="L76" s="487"/>
      <c r="M76" s="487"/>
      <c r="N76" s="487"/>
      <c r="O76" s="517"/>
      <c r="Q76" s="487"/>
      <c r="R76" s="498" t="s">
        <v>329</v>
      </c>
      <c r="S76" s="508">
        <f>C76+G76+K76+O76</f>
        <v>0</v>
      </c>
      <c r="T76" s="495"/>
      <c r="U76" s="495"/>
      <c r="V76" s="495"/>
      <c r="W76" s="495"/>
      <c r="X76" s="496"/>
      <c r="Y76" s="745" t="s">
        <v>325</v>
      </c>
      <c r="Z76" s="745"/>
      <c r="AA76" s="487"/>
      <c r="AB76" s="487"/>
    </row>
    <row r="77" spans="1:28" hidden="1" x14ac:dyDescent="0.25">
      <c r="A77" s="496">
        <v>3</v>
      </c>
      <c r="B77" s="498" t="s">
        <v>156</v>
      </c>
      <c r="C77" s="517"/>
      <c r="D77" s="512"/>
      <c r="E77" s="512"/>
      <c r="F77" s="512"/>
      <c r="G77" s="517"/>
      <c r="H77" s="516"/>
      <c r="I77" s="487"/>
      <c r="J77" s="487"/>
      <c r="K77" s="517"/>
      <c r="L77" s="487"/>
      <c r="M77" s="487"/>
      <c r="N77" s="487"/>
      <c r="O77" s="517"/>
      <c r="Q77" s="487"/>
      <c r="R77" s="498" t="s">
        <v>330</v>
      </c>
      <c r="S77" s="508">
        <f>C77+G77+K77+O77</f>
        <v>0</v>
      </c>
      <c r="T77" s="493" t="str">
        <f>IF(C20=0,"",HLOOKUP($C$16, Data!$D$3:$N$17, 4, FALSE)*C20)</f>
        <v/>
      </c>
      <c r="U77" s="493" t="str">
        <f>IF(G20=0,"",HLOOKUP($G$16, Data!$D$3:$N$17, 4, FALSE)*G20)</f>
        <v/>
      </c>
      <c r="V77" s="493" t="str">
        <f>IF(K20=0,"",HLOOKUP($K$16, Data!$D$3:$N$17, 4, FALSE)*K20)</f>
        <v/>
      </c>
      <c r="W77" s="493" t="str">
        <f>IF(O20=0,"",HLOOKUP($O$16, Data!$D$3:$N$17, 4, FALSE)*O20)</f>
        <v/>
      </c>
      <c r="X77" s="507">
        <f>SUM(T77:W77)</f>
        <v>0</v>
      </c>
      <c r="Y77" s="492" t="e">
        <f>S77/X77</f>
        <v>#DIV/0!</v>
      </c>
      <c r="Z77" s="487" t="e">
        <f>IF(Y77&lt;=105%,"Review.","Do not Review")</f>
        <v>#DIV/0!</v>
      </c>
      <c r="AA77" s="487"/>
      <c r="AB77" s="487"/>
    </row>
    <row r="78" spans="1:28" ht="16.5" hidden="1" customHeight="1" x14ac:dyDescent="0.25">
      <c r="A78" s="496">
        <v>4</v>
      </c>
      <c r="B78" s="503" t="s">
        <v>157</v>
      </c>
      <c r="C78" s="517"/>
      <c r="D78" s="512"/>
      <c r="E78" s="512"/>
      <c r="F78" s="512"/>
      <c r="G78" s="517"/>
      <c r="H78" s="516"/>
      <c r="I78" s="487"/>
      <c r="J78" s="487"/>
      <c r="K78" s="517"/>
      <c r="L78" s="487"/>
      <c r="M78" s="487"/>
      <c r="N78" s="487"/>
      <c r="O78" s="517"/>
      <c r="Q78" s="487"/>
      <c r="R78" s="498" t="s">
        <v>320</v>
      </c>
      <c r="S78" s="508">
        <f>C78+G78+K78+O78</f>
        <v>0</v>
      </c>
      <c r="T78" s="493" t="str">
        <f>IF(C20=0,"",((HLOOKUP($C$16,Data!$D$3:$N$17,8,FALSE)+(HLOOKUP($C$16,Data!$D$3:$N$17,11,FALSE))+(HLOOKUP($C$16,Data!$D$3:$N$17,9,FALSE)))*C20))</f>
        <v/>
      </c>
      <c r="U78" s="493" t="str">
        <f>IF(G20=0,"",((HLOOKUP($G$16,Data!$D$3:$N$17,8,FALSE)+(HLOOKUP($G$16,Data!$D$3:$N$17,11,FALSE))+(HLOOKUP($G$16,Data!$D$3:$N$17,9,FALSE)))*G20))</f>
        <v/>
      </c>
      <c r="V78" s="493" t="str">
        <f>IF(K20=0,"",((HLOOKUP($K$16,Data!$D$3:$N$17,8,FALSE)+(HLOOKUP($K$16,Data!$D$3:$N$17,11,FALSE))+(HLOOKUP($K$16,Data!$D$3:$N$17,9,FALSE)))*K20))</f>
        <v/>
      </c>
      <c r="W78" s="493" t="str">
        <f>IF(O20=0,"",((HLOOKUP($O$16,Data!$D$3:$N$17,8,FALSE)+(HLOOKUP($O$16,Data!$D$3:$N$17,11,FALSE))+(HLOOKUP($O$16,Data!$D$3:$N$17,9,FALSE)))*O20))</f>
        <v/>
      </c>
      <c r="X78" s="507">
        <f>SUM(T78:W78)</f>
        <v>0</v>
      </c>
      <c r="Y78" s="492" t="e">
        <f>S78/X78</f>
        <v>#DIV/0!</v>
      </c>
      <c r="Z78" s="487" t="e">
        <f>IF(Y78&lt;=105%,"Review.","Do not Review")</f>
        <v>#DIV/0!</v>
      </c>
      <c r="AA78" s="487"/>
      <c r="AB78" s="487"/>
    </row>
    <row r="79" spans="1:28" hidden="1" x14ac:dyDescent="0.25">
      <c r="A79" s="487"/>
      <c r="B79" s="498"/>
      <c r="C79" s="487"/>
      <c r="D79" s="487"/>
      <c r="E79" s="487"/>
      <c r="F79" s="487"/>
      <c r="G79" s="487"/>
      <c r="H79" s="487"/>
      <c r="I79" s="487"/>
      <c r="J79" s="487"/>
      <c r="K79" s="487"/>
      <c r="L79" s="487"/>
      <c r="M79" s="487"/>
      <c r="N79" s="487"/>
      <c r="O79" s="487"/>
      <c r="Q79" s="487"/>
      <c r="R79" s="487"/>
      <c r="S79" s="494"/>
      <c r="T79" s="495"/>
      <c r="U79" s="495"/>
      <c r="V79" s="495"/>
      <c r="W79" s="495"/>
      <c r="X79" s="502"/>
      <c r="Y79" s="489"/>
      <c r="Z79" s="487"/>
      <c r="AA79" s="487"/>
      <c r="AB79" s="487"/>
    </row>
    <row r="80" spans="1:28" hidden="1" x14ac:dyDescent="0.25">
      <c r="B80" s="46"/>
      <c r="O80" s="44"/>
      <c r="Q80" s="487"/>
      <c r="R80" s="487"/>
      <c r="S80" s="494"/>
      <c r="T80" s="495"/>
      <c r="U80" s="495"/>
      <c r="V80" s="495"/>
      <c r="W80" s="495"/>
      <c r="X80" s="509"/>
      <c r="Y80" s="489"/>
      <c r="Z80" s="487"/>
      <c r="AA80" s="487"/>
      <c r="AB80" s="487"/>
    </row>
    <row r="81" spans="1:28" hidden="1" x14ac:dyDescent="0.25">
      <c r="A81" s="487"/>
      <c r="B81" s="498" t="s">
        <v>159</v>
      </c>
      <c r="C81" s="512">
        <f>C54+C60+C61+C62+C63+C64+C65+C68+C66+C69+C70+C71+C74+C75+C76+C77+C78+C59+C72+C35+C33</f>
        <v>0</v>
      </c>
      <c r="D81" s="512"/>
      <c r="E81" s="512"/>
      <c r="F81" s="512"/>
      <c r="G81" s="512">
        <f>G54+G60+G61+G62+G63+G64+G65+G68+G66+G69+G70+G71+G74+G75+G76+G77+G78+G59+G72+G35+G33</f>
        <v>0</v>
      </c>
      <c r="H81" s="512"/>
      <c r="I81" s="512"/>
      <c r="J81" s="487"/>
      <c r="K81" s="512">
        <f>K54+K60+K61+K62+K63+K64+K65+K68+K66+K69+K70+K71+K74+K75+K76+K77+K78+K59+K72+K35+K33</f>
        <v>0</v>
      </c>
      <c r="L81" s="487"/>
      <c r="M81" s="487"/>
      <c r="N81" s="487"/>
      <c r="O81" s="512">
        <f>O54+O60+O61+O62+O63+O64+O65+O68+O66+O69+O70+O71+O74+O75+O76+O77+O78+O59+O72+O35+O33</f>
        <v>0</v>
      </c>
      <c r="Q81" s="487"/>
      <c r="R81" s="487"/>
      <c r="S81" s="510"/>
      <c r="T81" s="511"/>
      <c r="U81" s="511"/>
      <c r="V81" s="511"/>
      <c r="W81" s="511" t="s">
        <v>336</v>
      </c>
      <c r="X81" s="491">
        <f>SUM(X54:X78)+C33+C35+G33+G35+K33+K35+O33+O35</f>
        <v>0</v>
      </c>
      <c r="Y81" s="489"/>
      <c r="Z81" s="487"/>
      <c r="AA81" s="487"/>
      <c r="AB81" s="487"/>
    </row>
    <row r="82" spans="1:28" hidden="1" x14ac:dyDescent="0.25">
      <c r="A82" s="487"/>
      <c r="B82" s="498"/>
      <c r="C82" s="512"/>
      <c r="D82" s="512"/>
      <c r="E82" s="512"/>
      <c r="F82" s="512"/>
      <c r="G82" s="512"/>
      <c r="H82" s="512"/>
      <c r="I82" s="512"/>
      <c r="J82" s="487"/>
      <c r="K82" s="487"/>
      <c r="L82" s="487"/>
      <c r="M82" s="487"/>
      <c r="N82" s="487"/>
      <c r="O82" s="496"/>
      <c r="Q82" s="487"/>
      <c r="R82" s="512"/>
      <c r="S82" s="513"/>
      <c r="T82" s="493"/>
      <c r="U82" s="493"/>
      <c r="V82" s="493"/>
      <c r="W82" s="493"/>
      <c r="X82" s="491"/>
      <c r="Y82" s="489"/>
      <c r="Z82" s="487"/>
      <c r="AA82" s="487"/>
      <c r="AB82" s="487"/>
    </row>
    <row r="83" spans="1:28" hidden="1" x14ac:dyDescent="0.25">
      <c r="A83" s="487"/>
      <c r="B83" s="498"/>
      <c r="C83" s="512"/>
      <c r="D83" s="512"/>
      <c r="E83" s="512"/>
      <c r="F83" s="512"/>
      <c r="G83" s="512"/>
      <c r="H83" s="512"/>
      <c r="I83" s="512"/>
      <c r="J83" s="487"/>
      <c r="K83" s="487"/>
      <c r="L83" s="487"/>
      <c r="M83" s="487"/>
      <c r="N83" s="487"/>
      <c r="O83" s="496"/>
      <c r="Q83" s="487"/>
      <c r="R83" s="512"/>
      <c r="S83" s="513"/>
      <c r="T83" s="493"/>
      <c r="U83" s="493"/>
      <c r="V83" s="493"/>
      <c r="W83" s="493"/>
      <c r="X83" s="491"/>
      <c r="Y83" s="489"/>
      <c r="Z83" s="487"/>
      <c r="AA83" s="487"/>
      <c r="AB83" s="487"/>
    </row>
    <row r="84" spans="1:28" hidden="1" x14ac:dyDescent="0.25">
      <c r="A84" s="487"/>
      <c r="B84" s="498" t="s">
        <v>288</v>
      </c>
      <c r="C84" s="521">
        <f>'Mortgage Repayments (UW)'!E15</f>
        <v>0</v>
      </c>
      <c r="D84" s="512"/>
      <c r="E84" s="512"/>
      <c r="F84" s="512"/>
      <c r="G84" s="512"/>
      <c r="H84" s="512"/>
      <c r="I84" s="512"/>
      <c r="J84" s="487"/>
      <c r="K84" s="487"/>
      <c r="L84" s="487"/>
      <c r="M84" s="487"/>
      <c r="N84" s="487"/>
      <c r="O84" s="496"/>
      <c r="Q84" s="487"/>
      <c r="R84" s="512"/>
      <c r="S84" s="513"/>
      <c r="T84" s="493"/>
      <c r="U84" s="493"/>
      <c r="V84" s="493"/>
      <c r="W84" s="493"/>
      <c r="X84" s="491"/>
      <c r="Y84" s="489"/>
      <c r="Z84" s="487"/>
      <c r="AA84" s="487"/>
      <c r="AB84" s="487"/>
    </row>
    <row r="85" spans="1:28" hidden="1" x14ac:dyDescent="0.25">
      <c r="A85" s="487"/>
      <c r="B85" s="498" t="s">
        <v>162</v>
      </c>
      <c r="C85" s="522" t="e">
        <f>$C$31+$G$31+$K$31+$O$31-$C$81-$G$81-$K$81-$O$81-'Mortgage Repayments (UW)'!$E$4</f>
        <v>#N/A</v>
      </c>
      <c r="D85" s="512"/>
      <c r="E85" s="512"/>
      <c r="F85" s="512"/>
      <c r="G85" s="512"/>
      <c r="H85" s="512"/>
      <c r="I85" s="512"/>
      <c r="J85" s="487"/>
      <c r="K85" s="487"/>
      <c r="L85" s="487"/>
      <c r="M85" s="487"/>
      <c r="N85" s="487"/>
      <c r="O85" s="496"/>
      <c r="Q85" s="487"/>
      <c r="R85" s="487"/>
      <c r="S85" s="510"/>
      <c r="T85" s="511"/>
      <c r="U85" s="511"/>
      <c r="V85" s="511"/>
      <c r="W85" s="511" t="s">
        <v>323</v>
      </c>
      <c r="X85" s="491" t="e">
        <f>$C$31+$G$31+K31+O31-X81-'Mortgage Repayments (UW)'!$E$4</f>
        <v>#N/A</v>
      </c>
      <c r="Y85" s="489"/>
      <c r="Z85" s="487"/>
      <c r="AA85" s="487"/>
      <c r="AB85" s="487"/>
    </row>
    <row r="86" spans="1:28" hidden="1" x14ac:dyDescent="0.25">
      <c r="A86" s="487"/>
      <c r="B86" s="498" t="s">
        <v>292</v>
      </c>
      <c r="C86" s="523" t="e">
        <f>C85/(C31+G31+K31+O31)</f>
        <v>#N/A</v>
      </c>
      <c r="D86" s="512"/>
      <c r="E86" s="512"/>
      <c r="F86" s="512"/>
      <c r="G86" s="512"/>
      <c r="H86" s="512"/>
      <c r="I86" s="512"/>
      <c r="J86" s="487"/>
      <c r="K86" s="487"/>
      <c r="L86" s="487"/>
      <c r="M86" s="487"/>
      <c r="N86" s="487"/>
      <c r="O86" s="496"/>
      <c r="Q86" s="487"/>
      <c r="R86" s="512"/>
      <c r="S86" s="513"/>
      <c r="T86" s="493"/>
      <c r="U86" s="493"/>
      <c r="V86" s="493"/>
      <c r="W86" s="493"/>
      <c r="X86" s="491"/>
      <c r="Y86" s="489"/>
      <c r="Z86" s="487"/>
      <c r="AA86" s="487"/>
      <c r="AB86" s="487"/>
    </row>
    <row r="87" spans="1:28" hidden="1" x14ac:dyDescent="0.25">
      <c r="A87" s="487"/>
      <c r="B87" s="498" t="s">
        <v>291</v>
      </c>
      <c r="C87" s="532" t="e">
        <f>VLOOKUP($C$45, 'Mortgage Repayments (UW)'!$M$5:$O$7, 2, FALSE)</f>
        <v>#N/A</v>
      </c>
      <c r="D87" s="515"/>
      <c r="E87" s="515"/>
      <c r="F87" s="515"/>
      <c r="G87" s="515"/>
      <c r="H87" s="515"/>
      <c r="I87" s="515"/>
      <c r="J87" s="487"/>
      <c r="K87" s="487"/>
      <c r="L87" s="487"/>
      <c r="M87" s="487"/>
      <c r="N87" s="487"/>
      <c r="O87" s="496"/>
      <c r="Q87" s="487"/>
      <c r="R87" s="512"/>
      <c r="S87" s="513"/>
      <c r="T87" s="524"/>
      <c r="U87" s="524"/>
      <c r="V87" s="524"/>
      <c r="W87" s="524"/>
      <c r="X87" s="525"/>
      <c r="Y87" s="526"/>
      <c r="Z87" s="527"/>
      <c r="AA87" s="487"/>
      <c r="AB87" s="487"/>
    </row>
    <row r="88" spans="1:28" hidden="1" x14ac:dyDescent="0.25">
      <c r="A88" s="487"/>
      <c r="B88" s="498"/>
      <c r="C88" s="531"/>
      <c r="D88" s="527"/>
      <c r="E88" s="527"/>
      <c r="F88" s="527"/>
      <c r="G88" s="527"/>
      <c r="H88" s="527"/>
      <c r="I88" s="527"/>
      <c r="J88" s="487"/>
      <c r="K88" s="487"/>
      <c r="L88" s="487"/>
      <c r="M88" s="487"/>
      <c r="N88" s="487"/>
      <c r="O88" s="496"/>
      <c r="Q88" s="487"/>
      <c r="R88" s="487"/>
      <c r="S88" s="494"/>
      <c r="T88" s="528"/>
      <c r="U88" s="528"/>
      <c r="V88" s="528"/>
      <c r="W88" s="528"/>
      <c r="X88" s="529"/>
      <c r="Y88" s="526"/>
      <c r="Z88" s="527"/>
      <c r="AA88" s="487"/>
      <c r="AB88" s="487"/>
    </row>
    <row r="89" spans="1:28" ht="15" hidden="1" customHeight="1" x14ac:dyDescent="0.25">
      <c r="B89" s="498" t="s">
        <v>289</v>
      </c>
      <c r="C89" s="533" t="e">
        <f>'Mortgage Repayments (UW)'!J15</f>
        <v>#N/A</v>
      </c>
      <c r="D89" s="741" t="s">
        <v>583</v>
      </c>
      <c r="E89" s="741"/>
      <c r="F89" s="741"/>
      <c r="G89" s="738" t="str">
        <f>IFERROR(IF(C90&gt;=((C31+G31+K31+O31)*5%), "Pass", "Refer"),"")</f>
        <v/>
      </c>
      <c r="H89" s="738"/>
      <c r="I89" s="527"/>
      <c r="Q89" s="487"/>
      <c r="R89" s="487"/>
      <c r="S89" s="494"/>
      <c r="T89" s="528"/>
      <c r="U89" s="528"/>
      <c r="V89" s="528"/>
      <c r="W89" s="528"/>
      <c r="X89" s="529"/>
      <c r="Y89" s="526"/>
      <c r="Z89" s="527"/>
      <c r="AA89" s="487"/>
      <c r="AB89" s="487"/>
    </row>
    <row r="90" spans="1:28" ht="15" hidden="1" customHeight="1" x14ac:dyDescent="0.25">
      <c r="B90" s="498" t="s">
        <v>183</v>
      </c>
      <c r="C90" s="534" t="e">
        <f>$C$31+$G$31+$K$31+$O$31-$C$81-$G$81-$K$81-$O$81-'Mortgage Repayments (UW)'!$J$4</f>
        <v>#N/A</v>
      </c>
      <c r="D90" s="741"/>
      <c r="E90" s="741"/>
      <c r="F90" s="741"/>
      <c r="G90" s="738"/>
      <c r="H90" s="738"/>
      <c r="I90" s="527"/>
      <c r="Q90" s="487"/>
      <c r="R90" s="487"/>
      <c r="S90" s="499"/>
      <c r="T90" s="530"/>
      <c r="U90" s="530"/>
      <c r="V90" s="530"/>
      <c r="W90" s="530" t="s">
        <v>321</v>
      </c>
      <c r="X90" s="531" t="e">
        <f>$C$31+$G$31+K31+O31-$X$81-'Mortgage Repayments (UW)'!$J$4</f>
        <v>#N/A</v>
      </c>
      <c r="Y90" s="741" t="s">
        <v>583</v>
      </c>
      <c r="Z90" s="738" t="e">
        <f>IF(X90&gt;=((C31+G31+K31+O31)*5%),"Pass","Refer")</f>
        <v>#N/A</v>
      </c>
      <c r="AA90" s="487"/>
      <c r="AB90" s="487"/>
    </row>
    <row r="91" spans="1:28" hidden="1" x14ac:dyDescent="0.25">
      <c r="B91" s="498" t="s">
        <v>293</v>
      </c>
      <c r="C91" s="535" t="e">
        <f>C90/(C31+G31+K31+O31)</f>
        <v>#N/A</v>
      </c>
      <c r="D91" s="529"/>
      <c r="E91" s="529"/>
      <c r="F91" s="527"/>
      <c r="G91" s="527"/>
      <c r="H91" s="527"/>
      <c r="I91" s="527"/>
      <c r="Q91" s="487"/>
      <c r="R91" s="487"/>
      <c r="S91" s="499"/>
      <c r="T91" s="530"/>
      <c r="U91" s="530"/>
      <c r="V91" s="530"/>
      <c r="W91" s="530" t="s">
        <v>322</v>
      </c>
      <c r="X91" s="490" t="e">
        <f>X90/(C31+G31+K31+O31)</f>
        <v>#N/A</v>
      </c>
      <c r="Y91" s="741"/>
      <c r="Z91" s="738"/>
      <c r="AA91" s="487"/>
      <c r="AB91" s="487"/>
    </row>
    <row r="92" spans="1:28" hidden="1" x14ac:dyDescent="0.25">
      <c r="B92" s="498" t="s">
        <v>291</v>
      </c>
      <c r="C92" s="532" t="e">
        <f>VLOOKUP($C$45, 'Mortgage Repayments (UW)'!$M$5:$O$7, 3, FALSE)</f>
        <v>#N/A</v>
      </c>
      <c r="D92" s="527"/>
      <c r="E92" s="527"/>
      <c r="F92" s="527"/>
      <c r="G92" s="527"/>
      <c r="H92" s="527"/>
      <c r="I92" s="527"/>
      <c r="Q92" s="487"/>
      <c r="R92" s="487"/>
      <c r="S92" s="494"/>
      <c r="T92" s="528"/>
      <c r="U92" s="528"/>
      <c r="V92" s="528"/>
      <c r="W92" s="528"/>
      <c r="X92" s="529"/>
      <c r="Y92" s="526"/>
      <c r="Z92" s="527"/>
      <c r="AA92" s="487"/>
      <c r="AB92" s="487"/>
    </row>
    <row r="93" spans="1:28" hidden="1" x14ac:dyDescent="0.25">
      <c r="B93" s="46"/>
      <c r="Q93" s="487"/>
      <c r="R93" s="487"/>
      <c r="S93" s="494"/>
      <c r="T93" s="528"/>
      <c r="U93" s="528"/>
      <c r="V93" s="528"/>
      <c r="W93" s="528"/>
      <c r="X93" s="529"/>
      <c r="Y93" s="526"/>
      <c r="Z93" s="527"/>
      <c r="AA93" s="487"/>
      <c r="AB93" s="487"/>
    </row>
    <row r="94" spans="1:28" ht="14.25" hidden="1" customHeight="1" x14ac:dyDescent="0.25">
      <c r="B94" s="498"/>
      <c r="C94" s="487"/>
      <c r="D94" s="487"/>
      <c r="E94" s="487"/>
      <c r="F94" s="487"/>
      <c r="G94" s="487"/>
      <c r="X94" s="216"/>
      <c r="Y94" s="45"/>
    </row>
    <row r="95" spans="1:28" hidden="1" x14ac:dyDescent="0.25">
      <c r="B95" s="487"/>
      <c r="C95" s="487"/>
      <c r="D95" s="487"/>
      <c r="E95" s="487"/>
      <c r="F95" s="487"/>
      <c r="G95" s="487"/>
    </row>
    <row r="96" spans="1:28" hidden="1" x14ac:dyDescent="0.25">
      <c r="B96" s="487"/>
      <c r="C96" s="487"/>
      <c r="D96" s="487"/>
      <c r="E96" s="487"/>
      <c r="F96" s="487"/>
      <c r="G96" s="487"/>
    </row>
    <row r="97" spans="2:15" hidden="1" x14ac:dyDescent="0.25">
      <c r="B97" s="498" t="s">
        <v>282</v>
      </c>
      <c r="C97" s="487" t="s">
        <v>312</v>
      </c>
      <c r="D97" s="487"/>
      <c r="E97" s="487"/>
      <c r="F97" s="487"/>
      <c r="G97" s="519"/>
    </row>
    <row r="98" spans="2:15" hidden="1" x14ac:dyDescent="0.25">
      <c r="B98" s="487"/>
      <c r="C98" s="487" t="s">
        <v>283</v>
      </c>
      <c r="D98" s="487"/>
      <c r="E98" s="487"/>
      <c r="F98" s="487"/>
      <c r="G98" s="519"/>
    </row>
    <row r="99" spans="2:15" hidden="1" x14ac:dyDescent="0.25">
      <c r="B99" s="487"/>
      <c r="C99" s="487" t="s">
        <v>284</v>
      </c>
      <c r="D99" s="487"/>
      <c r="E99" s="487"/>
      <c r="F99" s="487"/>
      <c r="G99" s="519"/>
    </row>
    <row r="100" spans="2:15" hidden="1" x14ac:dyDescent="0.25">
      <c r="B100" s="487"/>
      <c r="C100" s="487" t="s">
        <v>285</v>
      </c>
      <c r="D100" s="487"/>
      <c r="E100" s="487"/>
      <c r="F100" s="487"/>
      <c r="G100" s="519"/>
    </row>
    <row r="101" spans="2:15" hidden="1" x14ac:dyDescent="0.25">
      <c r="B101" s="487"/>
      <c r="C101" s="487" t="s">
        <v>286</v>
      </c>
      <c r="D101" s="487"/>
      <c r="E101" s="487"/>
      <c r="F101" s="487"/>
      <c r="G101" s="519"/>
    </row>
    <row r="102" spans="2:15" hidden="1" x14ac:dyDescent="0.25">
      <c r="B102" s="487"/>
      <c r="C102" s="487"/>
      <c r="D102" s="496"/>
      <c r="E102" s="487"/>
      <c r="F102" s="487"/>
      <c r="G102" s="487"/>
    </row>
    <row r="103" spans="2:15" hidden="1" x14ac:dyDescent="0.25">
      <c r="B103" s="487"/>
      <c r="C103" s="487"/>
      <c r="D103" s="496"/>
      <c r="E103" s="496"/>
      <c r="F103" s="487"/>
      <c r="G103" s="487"/>
    </row>
    <row r="104" spans="2:15" hidden="1" x14ac:dyDescent="0.25">
      <c r="B104" s="487"/>
      <c r="C104" s="487"/>
      <c r="D104" s="487"/>
      <c r="E104" s="487"/>
      <c r="F104" s="487"/>
      <c r="G104" s="487"/>
    </row>
    <row r="105" spans="2:15" hidden="1" x14ac:dyDescent="0.25">
      <c r="B105" s="498" t="s">
        <v>287</v>
      </c>
      <c r="C105" s="520"/>
      <c r="D105" s="487"/>
      <c r="E105" s="487"/>
      <c r="F105" s="487"/>
      <c r="G105" s="487"/>
    </row>
    <row r="106" spans="2:15" hidden="1" x14ac:dyDescent="0.25">
      <c r="B106" s="487"/>
      <c r="C106" s="487"/>
      <c r="D106" s="487"/>
      <c r="E106" s="487"/>
      <c r="F106" s="487"/>
      <c r="G106" s="487"/>
    </row>
    <row r="107" spans="2:15" hidden="1" x14ac:dyDescent="0.25">
      <c r="B107" s="498" t="s">
        <v>186</v>
      </c>
      <c r="C107" s="487"/>
      <c r="D107" s="487"/>
      <c r="E107" s="487"/>
      <c r="F107" s="487"/>
      <c r="G107" s="487"/>
    </row>
    <row r="108" spans="2:15" hidden="1" x14ac:dyDescent="0.25">
      <c r="B108" s="737"/>
      <c r="C108" s="737"/>
      <c r="D108" s="737"/>
      <c r="E108" s="737"/>
      <c r="F108" s="737"/>
      <c r="G108" s="737"/>
      <c r="H108" s="244"/>
      <c r="I108" s="244"/>
      <c r="J108" s="244"/>
      <c r="K108" s="244"/>
      <c r="N108" s="45"/>
      <c r="O108" s="51"/>
    </row>
    <row r="109" spans="2:15" hidden="1" x14ac:dyDescent="0.25">
      <c r="B109" s="737"/>
      <c r="C109" s="737"/>
      <c r="D109" s="737"/>
      <c r="E109" s="737"/>
      <c r="F109" s="737"/>
      <c r="G109" s="737"/>
      <c r="H109" s="244"/>
      <c r="I109" s="244"/>
      <c r="J109" s="244"/>
      <c r="K109" s="244"/>
      <c r="N109" s="45"/>
      <c r="O109" s="51"/>
    </row>
    <row r="110" spans="2:15" hidden="1" x14ac:dyDescent="0.25">
      <c r="B110" s="737"/>
      <c r="C110" s="737"/>
      <c r="D110" s="737"/>
      <c r="E110" s="737"/>
      <c r="F110" s="737"/>
      <c r="G110" s="737"/>
      <c r="H110" s="244"/>
      <c r="I110" s="244"/>
      <c r="J110" s="244"/>
      <c r="K110" s="244"/>
      <c r="N110" s="45"/>
      <c r="O110" s="51"/>
    </row>
    <row r="111" spans="2:15" hidden="1" x14ac:dyDescent="0.25">
      <c r="B111" s="737"/>
      <c r="C111" s="737"/>
      <c r="D111" s="737"/>
      <c r="E111" s="737"/>
      <c r="F111" s="737"/>
      <c r="G111" s="737"/>
      <c r="H111" s="244"/>
      <c r="I111" s="244"/>
      <c r="J111" s="244"/>
      <c r="K111" s="244"/>
      <c r="N111" s="45"/>
      <c r="O111" s="51"/>
    </row>
    <row r="112" spans="2:15" hidden="1" x14ac:dyDescent="0.25">
      <c r="B112" s="737"/>
      <c r="C112" s="737"/>
      <c r="D112" s="737"/>
      <c r="E112" s="737"/>
      <c r="F112" s="737"/>
      <c r="G112" s="737"/>
      <c r="H112" s="244"/>
      <c r="I112" s="244"/>
      <c r="J112" s="244"/>
      <c r="K112" s="244"/>
      <c r="N112" s="45"/>
      <c r="O112" s="51"/>
    </row>
    <row r="113" spans="2:14" hidden="1" x14ac:dyDescent="0.25">
      <c r="B113" s="496"/>
      <c r="C113" s="496"/>
      <c r="D113" s="496"/>
      <c r="E113" s="496"/>
      <c r="F113" s="496"/>
      <c r="G113" s="496"/>
      <c r="H113" s="216"/>
      <c r="I113" s="216"/>
      <c r="J113" s="216"/>
      <c r="K113" s="216"/>
      <c r="N113" s="216"/>
    </row>
    <row r="114" spans="2:14" hidden="1" x14ac:dyDescent="0.25">
      <c r="B114" s="498" t="s">
        <v>279</v>
      </c>
      <c r="C114" s="520"/>
      <c r="D114" s="487"/>
      <c r="E114" s="487"/>
      <c r="F114" s="487"/>
      <c r="G114" s="487"/>
    </row>
    <row r="115" spans="2:14" hidden="1" x14ac:dyDescent="0.25">
      <c r="B115" s="487"/>
      <c r="C115" s="487"/>
      <c r="D115" s="487"/>
      <c r="E115" s="487"/>
      <c r="F115" s="487"/>
      <c r="G115" s="487"/>
    </row>
    <row r="116" spans="2:14" hidden="1" x14ac:dyDescent="0.25"/>
    <row r="117" spans="2:14" hidden="1" x14ac:dyDescent="0.25"/>
    <row r="118" spans="2:14" hidden="1" x14ac:dyDescent="0.25"/>
    <row r="119" spans="2:14" hidden="1" x14ac:dyDescent="0.25"/>
    <row r="120" spans="2:14" ht="28.5" x14ac:dyDescent="0.45">
      <c r="B120" s="760" t="s">
        <v>679</v>
      </c>
      <c r="C120" s="760"/>
      <c r="D120" s="760"/>
      <c r="E120" s="761" t="e">
        <f>Z90</f>
        <v>#N/A</v>
      </c>
      <c r="F120" s="761"/>
      <c r="G120" s="761"/>
      <c r="H120" s="761"/>
    </row>
    <row r="121" spans="2:14" ht="28.5" x14ac:dyDescent="0.45">
      <c r="B121" s="762"/>
      <c r="C121" s="762"/>
      <c r="D121" s="762"/>
      <c r="E121" s="763"/>
      <c r="F121" s="763"/>
      <c r="G121" s="763"/>
      <c r="H121" s="763"/>
    </row>
    <row r="122" spans="2:14" x14ac:dyDescent="0.25">
      <c r="B122" s="764" t="s">
        <v>680</v>
      </c>
      <c r="C122" s="764"/>
      <c r="D122" s="764"/>
      <c r="E122" s="764"/>
      <c r="F122" s="764"/>
      <c r="G122" s="764"/>
    </row>
    <row r="123" spans="2:14" x14ac:dyDescent="0.25">
      <c r="B123" s="764"/>
      <c r="C123" s="764"/>
      <c r="D123" s="764"/>
      <c r="E123" s="764"/>
      <c r="F123" s="764"/>
      <c r="G123" s="764"/>
    </row>
    <row r="124" spans="2:14" x14ac:dyDescent="0.25">
      <c r="B124" s="764"/>
      <c r="C124" s="764"/>
      <c r="D124" s="764"/>
      <c r="E124" s="764"/>
      <c r="F124" s="764"/>
      <c r="G124" s="764"/>
    </row>
    <row r="125" spans="2:14" x14ac:dyDescent="0.25">
      <c r="B125" s="764"/>
      <c r="C125" s="764"/>
      <c r="D125" s="764"/>
      <c r="E125" s="764"/>
      <c r="F125" s="764"/>
      <c r="G125" s="764"/>
    </row>
    <row r="126" spans="2:14" ht="99.75" customHeight="1" x14ac:dyDescent="0.25">
      <c r="B126" s="764"/>
      <c r="C126" s="764"/>
      <c r="D126" s="764"/>
      <c r="E126" s="764"/>
      <c r="F126" s="764"/>
      <c r="G126" s="764"/>
    </row>
  </sheetData>
  <sheetProtection algorithmName="SHA-512" hashValue="eOs4P7BvmyCuk4Lg8l3pmfQ8qDEzFvuWW0NYPDfQnaF883k87NV3hhZeN7TWZmItqLpi/XJ6CVg5JR8bcM6i7w==" saltValue="ZqDkeq6kgbElLgamvfUPXg==" spinCount="100000" sheet="1" objects="1" scenarios="1"/>
  <dataConsolidate/>
  <customSheetViews>
    <customSheetView guid="{0C762E80-EE8B-4405-B1DD-B3A926628697}" scale="85" printArea="1" hiddenRows="1" hiddenColumns="1" topLeftCell="B1">
      <selection activeCell="J78" sqref="J78"/>
      <rowBreaks count="1" manualBreakCount="1">
        <brk id="37" min="1" max="14" man="1"/>
      </rowBreaks>
      <pageMargins left="0.70866141732283472" right="0.70866141732283472" top="0.74803149606299213" bottom="0.74803149606299213" header="0.31496062992125984" footer="0.31496062992125984"/>
      <pageSetup paperSize="9" scale="73" orientation="landscape" r:id="rId1"/>
      <headerFooter>
        <oddFooter>&amp;F</oddFooter>
      </headerFooter>
    </customSheetView>
  </customSheetViews>
  <mergeCells count="30">
    <mergeCell ref="B120:D120"/>
    <mergeCell ref="E120:H120"/>
    <mergeCell ref="B121:D121"/>
    <mergeCell ref="E121:H121"/>
    <mergeCell ref="B122:G126"/>
    <mergeCell ref="P28:P29"/>
    <mergeCell ref="C4:G4"/>
    <mergeCell ref="X51:X52"/>
    <mergeCell ref="X49:Z50"/>
    <mergeCell ref="C10:G10"/>
    <mergeCell ref="Z51:Z52"/>
    <mergeCell ref="Y51:Y52"/>
    <mergeCell ref="D28:D29"/>
    <mergeCell ref="H28:H29"/>
    <mergeCell ref="L28:L29"/>
    <mergeCell ref="T52:W52"/>
    <mergeCell ref="V11:AA11"/>
    <mergeCell ref="Y76:Z76"/>
    <mergeCell ref="Y54:Z54"/>
    <mergeCell ref="Y90:Y91"/>
    <mergeCell ref="Z90:Z91"/>
    <mergeCell ref="Y66:Z66"/>
    <mergeCell ref="B2:I2"/>
    <mergeCell ref="B108:G112"/>
    <mergeCell ref="G89:H90"/>
    <mergeCell ref="D39:F39"/>
    <mergeCell ref="D37:F37"/>
    <mergeCell ref="D89:F90"/>
    <mergeCell ref="D45:F45"/>
    <mergeCell ref="D41:F41"/>
  </mergeCells>
  <conditionalFormatting sqref="G14:O20">
    <cfRule type="expression" dxfId="21" priority="19">
      <formula>OR(ISBLANK($C$12),$C$12=1)</formula>
    </cfRule>
  </conditionalFormatting>
  <conditionalFormatting sqref="G54:O81 G24:Q35">
    <cfRule type="expression" dxfId="20" priority="10">
      <formula>OR(ISBLANK($C$22),$C$22=1)</formula>
    </cfRule>
  </conditionalFormatting>
  <conditionalFormatting sqref="K14:O20">
    <cfRule type="expression" dxfId="19" priority="20">
      <formula>$C$12=2</formula>
    </cfRule>
  </conditionalFormatting>
  <conditionalFormatting sqref="K54:O81 K24:Q35">
    <cfRule type="expression" dxfId="18" priority="13">
      <formula>$C$22=2</formula>
    </cfRule>
  </conditionalFormatting>
  <conditionalFormatting sqref="O14:O20">
    <cfRule type="expression" dxfId="17" priority="21">
      <formula>$C$12=3</formula>
    </cfRule>
  </conditionalFormatting>
  <conditionalFormatting sqref="O54:O81 O24:Q35">
    <cfRule type="expression" dxfId="16" priority="18">
      <formula>$C$22=3</formula>
    </cfRule>
  </conditionalFormatting>
  <conditionalFormatting sqref="Q28 M28 I28 E28">
    <cfRule type="containsText" dxfId="15" priority="26" operator="containsText" text="&gt;75">
      <formula>NOT(ISERROR(SEARCH("&gt;75",E28)))</formula>
    </cfRule>
  </conditionalFormatting>
  <conditionalFormatting sqref="Z90:Z91 G89:H90">
    <cfRule type="containsText" dxfId="14" priority="9" operator="containsText" text="refer">
      <formula>NOT(ISERROR(SEARCH("refer",G89)))</formula>
    </cfRule>
  </conditionalFormatting>
  <conditionalFormatting sqref="Z1:Z1048576">
    <cfRule type="containsText" dxfId="13" priority="8" operator="containsText" text="Review.">
      <formula>NOT(ISERROR(SEARCH("Review.",Z1)))</formula>
    </cfRule>
  </conditionalFormatting>
  <conditionalFormatting sqref="G41">
    <cfRule type="containsText" dxfId="12" priority="6" operator="containsText" text="below">
      <formula>NOT(ISERROR(SEARCH("below",G41)))</formula>
    </cfRule>
    <cfRule type="containsText" dxfId="11" priority="7" operator="containsText" text="greater">
      <formula>NOT(ISERROR(SEARCH("greater",G41)))</formula>
    </cfRule>
  </conditionalFormatting>
  <conditionalFormatting sqref="G45">
    <cfRule type="containsText" dxfId="10" priority="5" operator="containsText" text="error">
      <formula>NOT(ISERROR(SEARCH("error",G45)))</formula>
    </cfRule>
  </conditionalFormatting>
  <conditionalFormatting sqref="E120:H120">
    <cfRule type="containsText" dxfId="9" priority="3" operator="containsText" text="Refer">
      <formula>NOT(ISERROR(SEARCH("Refer",E120)))</formula>
    </cfRule>
    <cfRule type="containsText" dxfId="8" priority="4" operator="containsText" text="Pass">
      <formula>NOT(ISERROR(SEARCH("Pass",E120)))</formula>
    </cfRule>
  </conditionalFormatting>
  <conditionalFormatting sqref="E121:H121">
    <cfRule type="containsText" dxfId="7" priority="1" operator="containsText" text="Refer">
      <formula>NOT(ISERROR(SEARCH("Refer",E121)))</formula>
    </cfRule>
    <cfRule type="containsText" dxfId="6" priority="2" operator="containsText" text="Pass">
      <formula>NOT(ISERROR(SEARCH("Pass",E121)))</formula>
    </cfRule>
  </conditionalFormatting>
  <dataValidations count="9">
    <dataValidation type="list" allowBlank="1" showInputMessage="1" showErrorMessage="1" sqref="C45" xr:uid="{00000000-0002-0000-0000-000001000000}">
      <formula1>repayment_type</formula1>
    </dataValidation>
    <dataValidation type="list" allowBlank="1" showInputMessage="1" showErrorMessage="1" sqref="C52" xr:uid="{00000000-0002-0000-0000-000002000000}">
      <formula1>product_length</formula1>
    </dataValidation>
    <dataValidation type="list" allowBlank="1" showInputMessage="1" showErrorMessage="1" sqref="C57" xr:uid="{00000000-0002-0000-0000-000003000000}">
      <formula1>Council_tax_bands_1</formula1>
    </dataValidation>
    <dataValidation type="list" allowBlank="1" showInputMessage="1" showErrorMessage="1" sqref="C58" xr:uid="{00000000-0002-0000-0000-000004000000}">
      <formula1>council_tax_discount</formula1>
    </dataValidation>
    <dataValidation type="list" allowBlank="1" showInputMessage="1" showErrorMessage="1" sqref="D102:E103" xr:uid="{00000000-0002-0000-0000-000005000000}">
      <formula1>review</formula1>
    </dataValidation>
    <dataValidation type="list" allowBlank="1" showInputMessage="1" showErrorMessage="1" sqref="G97:G101" xr:uid="{CD90A057-A151-4ED4-AA53-F85D4AC74DD2}">
      <formula1>"Yes, No"</formula1>
    </dataValidation>
    <dataValidation type="list" allowBlank="1" showInputMessage="1" showErrorMessage="1" sqref="C10:G10" xr:uid="{7403F19B-E909-4886-AFB3-3A5C23CE18DC}">
      <formula1>"Remortgage, House purchase, Additional borrowing"</formula1>
    </dataValidation>
    <dataValidation type="list" allowBlank="1" showInputMessage="1" showErrorMessage="1" sqref="C12 C22" xr:uid="{05C63ADC-53F4-4A3A-A5F2-CE6B6B756E40}">
      <formula1>"1,2,3,4"</formula1>
    </dataValidation>
    <dataValidation type="list" allowBlank="1" showInputMessage="1" showErrorMessage="1" sqref="C26 G26 K26 O26" xr:uid="{858F3636-5BB1-4D32-89A0-9AF071E18C41}">
      <formula1>"4.49"</formula1>
    </dataValidation>
  </dataValidations>
  <pageMargins left="0" right="0" top="0" bottom="0" header="0" footer="0"/>
  <pageSetup paperSize="9" scale="44" orientation="portrait" cellComments="atEnd" horizontalDpi="4294967295" verticalDpi="4294967295" r:id="rId2"/>
  <headerFooter>
    <oddFooter>&amp;C&amp;F_x000D_&amp;1#&amp;"Calibri"&amp;10&amp;K000000 HIGHLY CONFIDENTIAL</oddFooter>
  </headerFooter>
  <rowBreaks count="1" manualBreakCount="1">
    <brk id="49" max="16" man="1"/>
  </rowBreaks>
  <drawing r:id="rId3"/>
  <legacyDrawing r:id="rId4"/>
  <mc:AlternateContent xmlns:mc="http://schemas.openxmlformats.org/markup-compatibility/2006">
    <mc:Choice Requires="x14">
      <controls>
        <mc:AlternateContent xmlns:mc="http://schemas.openxmlformats.org/markup-compatibility/2006">
          <mc:Choice Requires="x14">
            <control shapeId="12298" r:id="rId5" name="Button 10">
              <controlPr defaultSize="0" print="0" autoFill="0" autoPict="0" macro="[0]!ResetUW">
                <anchor moveWithCells="1" sizeWithCells="1">
                  <from>
                    <xdr:col>13</xdr:col>
                    <xdr:colOff>247650</xdr:colOff>
                    <xdr:row>0</xdr:row>
                    <xdr:rowOff>95250</xdr:rowOff>
                  </from>
                  <to>
                    <xdr:col>14</xdr:col>
                    <xdr:colOff>1704975</xdr:colOff>
                    <xdr:row>1</xdr:row>
                    <xdr:rowOff>447675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6000000}">
          <x14:formula1>
            <xm:f>Data!$C$46:$C$54</xm:f>
          </x14:formula1>
          <xm:sqref>O18 G18 K18 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O27"/>
  <sheetViews>
    <sheetView showGridLines="0" topLeftCell="B1" workbookViewId="0">
      <selection activeCell="N10" sqref="N10"/>
    </sheetView>
  </sheetViews>
  <sheetFormatPr defaultRowHeight="15" x14ac:dyDescent="0.25"/>
  <cols>
    <col min="5" max="5" width="12.5703125" bestFit="1" customWidth="1"/>
    <col min="10" max="10" width="12.28515625" bestFit="1" customWidth="1"/>
    <col min="13" max="13" width="35.28515625" bestFit="1" customWidth="1"/>
    <col min="14" max="14" width="13.85546875" bestFit="1" customWidth="1"/>
    <col min="15" max="15" width="17.28515625" bestFit="1" customWidth="1"/>
  </cols>
  <sheetData>
    <row r="2" spans="2:15" x14ac:dyDescent="0.25">
      <c r="B2" s="765" t="s">
        <v>261</v>
      </c>
      <c r="C2" s="765"/>
      <c r="D2" s="765"/>
      <c r="E2" s="765"/>
      <c r="F2" s="765"/>
      <c r="G2" s="765" t="s">
        <v>262</v>
      </c>
      <c r="H2" s="765"/>
      <c r="I2" s="765"/>
      <c r="J2" s="765"/>
      <c r="K2" s="765"/>
    </row>
    <row r="3" spans="2:15" ht="15.75" thickBot="1" x14ac:dyDescent="0.3">
      <c r="B3" s="2"/>
      <c r="C3" s="2"/>
      <c r="D3" s="2"/>
      <c r="E3" s="2"/>
      <c r="F3" s="2"/>
      <c r="G3" s="2"/>
      <c r="H3" s="2"/>
      <c r="I3" s="2"/>
      <c r="J3" s="2"/>
      <c r="K3" s="2"/>
      <c r="L3" s="2"/>
      <c r="M3" s="2"/>
      <c r="N3" s="2"/>
    </row>
    <row r="4" spans="2:15" ht="15.75" thickBot="1" x14ac:dyDescent="0.3">
      <c r="B4" s="3" t="s">
        <v>167</v>
      </c>
      <c r="C4" s="18"/>
      <c r="D4" s="18"/>
      <c r="E4" s="19" t="e">
        <f>VLOOKUP('Affordability Calculator'!$C$45, 'Mortgage Repayments (UW)'!$M$5:$N$7, 2, FALSE)</f>
        <v>#N/A</v>
      </c>
      <c r="F4" s="20"/>
      <c r="G4" s="3" t="s">
        <v>167</v>
      </c>
      <c r="H4" s="18"/>
      <c r="I4" s="18"/>
      <c r="J4" s="19" t="e">
        <f>VLOOKUP('Affordability Calculator'!$C$45, 'Mortgage Repayments (UW)'!$M$5:$O$7, 3, FALSE)</f>
        <v>#N/A</v>
      </c>
      <c r="K4" s="20"/>
      <c r="L4" s="2"/>
      <c r="M4" s="2"/>
      <c r="N4" s="2"/>
    </row>
    <row r="5" spans="2:15" x14ac:dyDescent="0.25">
      <c r="B5" s="5"/>
      <c r="C5" s="2"/>
      <c r="D5" s="2"/>
      <c r="E5" s="2"/>
      <c r="F5" s="21"/>
      <c r="G5" s="5"/>
      <c r="H5" s="2"/>
      <c r="I5" s="2"/>
      <c r="J5" s="2"/>
      <c r="K5" s="21"/>
      <c r="L5" s="2"/>
      <c r="M5" s="3" t="s">
        <v>165</v>
      </c>
      <c r="N5" s="4" t="e">
        <f>E18</f>
        <v>#NUM!</v>
      </c>
      <c r="O5" s="4" t="e">
        <f>J18</f>
        <v>#N/A</v>
      </c>
    </row>
    <row r="6" spans="2:15" x14ac:dyDescent="0.25">
      <c r="B6" s="5"/>
      <c r="C6" s="2"/>
      <c r="D6" s="2"/>
      <c r="E6" s="2"/>
      <c r="F6" s="21"/>
      <c r="G6" s="5"/>
      <c r="H6" s="2"/>
      <c r="I6" s="2"/>
      <c r="J6" s="2"/>
      <c r="K6" s="21"/>
      <c r="L6" s="2"/>
      <c r="M6" s="5" t="s">
        <v>166</v>
      </c>
      <c r="N6" s="6">
        <f>E24</f>
        <v>0</v>
      </c>
      <c r="O6" s="6" t="e">
        <f>J24</f>
        <v>#N/A</v>
      </c>
    </row>
    <row r="7" spans="2:15" ht="15.75" thickBot="1" x14ac:dyDescent="0.3">
      <c r="B7" s="5"/>
      <c r="C7" s="2"/>
      <c r="D7" s="2"/>
      <c r="E7" s="2"/>
      <c r="F7" s="21"/>
      <c r="G7" s="5"/>
      <c r="H7" s="2"/>
      <c r="I7" s="2"/>
      <c r="J7" s="2"/>
      <c r="K7" s="21"/>
      <c r="L7" s="2"/>
      <c r="M7" s="7" t="s">
        <v>170</v>
      </c>
      <c r="N7" s="40" t="e">
        <f>E27</f>
        <v>#NUM!</v>
      </c>
      <c r="O7" s="40" t="e">
        <f>J27</f>
        <v>#N/A</v>
      </c>
    </row>
    <row r="8" spans="2:15" x14ac:dyDescent="0.25">
      <c r="B8" s="5" t="s">
        <v>168</v>
      </c>
      <c r="C8" s="2"/>
      <c r="D8" s="2"/>
      <c r="E8" s="2"/>
      <c r="F8" s="21"/>
      <c r="G8" s="5" t="s">
        <v>168</v>
      </c>
      <c r="H8" s="2"/>
      <c r="I8" s="2"/>
      <c r="J8" s="2"/>
      <c r="K8" s="21"/>
      <c r="L8" s="2"/>
      <c r="M8" s="2"/>
      <c r="N8" s="2"/>
    </row>
    <row r="9" spans="2:15" ht="15.75" thickBot="1" x14ac:dyDescent="0.3">
      <c r="B9" s="5"/>
      <c r="C9" s="2"/>
      <c r="D9" s="2"/>
      <c r="E9" s="2"/>
      <c r="F9" s="21"/>
      <c r="G9" s="5"/>
      <c r="H9" s="2"/>
      <c r="I9" s="2"/>
      <c r="J9" s="2"/>
      <c r="K9" s="21"/>
      <c r="L9" s="2"/>
      <c r="M9" s="2"/>
      <c r="N9" s="2"/>
    </row>
    <row r="10" spans="2:15" x14ac:dyDescent="0.25">
      <c r="B10" s="5"/>
      <c r="C10" s="2" t="s">
        <v>171</v>
      </c>
      <c r="D10" s="2"/>
      <c r="E10" s="8">
        <f>'Affordability Calculator'!C47</f>
        <v>0</v>
      </c>
      <c r="F10" s="21"/>
      <c r="G10" s="5"/>
      <c r="H10" s="2" t="s">
        <v>171</v>
      </c>
      <c r="I10" s="2"/>
      <c r="J10" s="8">
        <f>'Affordability Calculator'!C47</f>
        <v>0</v>
      </c>
      <c r="K10" s="21"/>
      <c r="L10" s="2"/>
      <c r="M10" s="28" t="s">
        <v>180</v>
      </c>
      <c r="N10" s="485">
        <f>IF(E15+1%&gt;6.79%,E15+1%,6.79%)</f>
        <v>6.7900000000000002E-2</v>
      </c>
    </row>
    <row r="11" spans="2:15" x14ac:dyDescent="0.25">
      <c r="B11" s="5"/>
      <c r="C11" s="2"/>
      <c r="D11" s="2"/>
      <c r="E11" s="2"/>
      <c r="F11" s="21"/>
      <c r="G11" s="5"/>
      <c r="H11" s="2"/>
      <c r="I11" s="2"/>
      <c r="J11" s="2"/>
      <c r="K11" s="21"/>
      <c r="L11" s="2"/>
      <c r="M11" s="30" t="s">
        <v>181</v>
      </c>
      <c r="N11" s="31">
        <f>E15</f>
        <v>0</v>
      </c>
      <c r="O11" t="s">
        <v>185</v>
      </c>
    </row>
    <row r="12" spans="2:15" ht="15.75" thickBot="1" x14ac:dyDescent="0.3">
      <c r="B12" s="5"/>
      <c r="C12" s="2" t="s">
        <v>172</v>
      </c>
      <c r="D12" s="2"/>
      <c r="E12" s="9">
        <f>'Affordability Calculator'!$C$43</f>
        <v>0</v>
      </c>
      <c r="F12" s="21" t="s">
        <v>173</v>
      </c>
      <c r="G12" s="5"/>
      <c r="H12" s="2" t="s">
        <v>172</v>
      </c>
      <c r="I12" s="2"/>
      <c r="J12" s="9">
        <f>'Affordability Calculator'!$C$43</f>
        <v>0</v>
      </c>
      <c r="K12" s="21" t="s">
        <v>173</v>
      </c>
      <c r="L12" s="2"/>
      <c r="M12" s="32" t="s">
        <v>182</v>
      </c>
      <c r="N12" s="42">
        <f>E15+1%</f>
        <v>0.01</v>
      </c>
    </row>
    <row r="13" spans="2:15" x14ac:dyDescent="0.25">
      <c r="B13" s="5"/>
      <c r="C13" s="2"/>
      <c r="D13" s="17"/>
      <c r="E13" s="16">
        <f>E12*12</f>
        <v>0</v>
      </c>
      <c r="F13" s="22" t="s">
        <v>174</v>
      </c>
      <c r="G13" s="5"/>
      <c r="H13" s="2"/>
      <c r="I13" s="17"/>
      <c r="J13" s="16">
        <f>J12*12</f>
        <v>0</v>
      </c>
      <c r="K13" s="22" t="s">
        <v>174</v>
      </c>
      <c r="L13" s="2"/>
      <c r="M13" s="10"/>
      <c r="N13" s="11"/>
    </row>
    <row r="14" spans="2:15" x14ac:dyDescent="0.25">
      <c r="B14" s="5"/>
      <c r="C14" s="2"/>
      <c r="D14" s="2"/>
      <c r="E14" s="2"/>
      <c r="F14" s="21"/>
      <c r="G14" s="5"/>
      <c r="H14" s="2"/>
      <c r="I14" s="2"/>
      <c r="J14" s="2"/>
      <c r="K14" s="21"/>
      <c r="L14" s="2"/>
      <c r="M14" s="2"/>
      <c r="N14" s="2"/>
    </row>
    <row r="15" spans="2:15" x14ac:dyDescent="0.25">
      <c r="B15" s="5"/>
      <c r="C15" s="17" t="s">
        <v>175</v>
      </c>
      <c r="D15" s="17"/>
      <c r="E15" s="12">
        <f>TALO6</f>
        <v>0</v>
      </c>
      <c r="F15" s="21" t="s">
        <v>176</v>
      </c>
      <c r="G15" s="5"/>
      <c r="H15" s="17" t="s">
        <v>175</v>
      </c>
      <c r="I15" s="17"/>
      <c r="J15" s="12" t="e">
        <f>VLOOKUP('Affordability Calculator'!C52, 'Mortgage Repayments (UW)'!M10:N12, 2, FALSE)</f>
        <v>#N/A</v>
      </c>
      <c r="K15" s="21" t="s">
        <v>176</v>
      </c>
      <c r="L15" s="2"/>
      <c r="M15" s="10"/>
      <c r="N15" s="13"/>
    </row>
    <row r="16" spans="2:15" x14ac:dyDescent="0.25">
      <c r="B16" s="5"/>
      <c r="C16" s="2"/>
      <c r="D16" s="17" t="s">
        <v>177</v>
      </c>
      <c r="E16" s="16">
        <f>E15/12</f>
        <v>0</v>
      </c>
      <c r="F16" s="21"/>
      <c r="G16" s="5"/>
      <c r="H16" s="2"/>
      <c r="I16" s="17" t="s">
        <v>177</v>
      </c>
      <c r="J16" s="16" t="e">
        <f>J15/12</f>
        <v>#N/A</v>
      </c>
      <c r="K16" s="21"/>
      <c r="L16" s="2"/>
      <c r="M16" s="2"/>
      <c r="N16" s="2"/>
    </row>
    <row r="17" spans="2:14" x14ac:dyDescent="0.25">
      <c r="B17" s="5"/>
      <c r="C17" s="2"/>
      <c r="D17" s="2"/>
      <c r="E17" s="17"/>
      <c r="F17" s="21"/>
      <c r="G17" s="5"/>
      <c r="H17" s="2"/>
      <c r="I17" s="2"/>
      <c r="J17" s="17"/>
      <c r="K17" s="21"/>
      <c r="L17" s="2"/>
      <c r="M17" s="2"/>
      <c r="N17" s="2"/>
    </row>
    <row r="18" spans="2:14" x14ac:dyDescent="0.25">
      <c r="B18" s="5"/>
      <c r="C18" s="2" t="s">
        <v>178</v>
      </c>
      <c r="D18" s="2"/>
      <c r="E18" s="23" t="e">
        <f>-PMT(E16,E13,E10)</f>
        <v>#NUM!</v>
      </c>
      <c r="F18" s="21"/>
      <c r="G18" s="5"/>
      <c r="H18" s="2" t="s">
        <v>178</v>
      </c>
      <c r="I18" s="2"/>
      <c r="J18" s="23" t="e">
        <f>-PMT(J16,J13,J10)</f>
        <v>#N/A</v>
      </c>
      <c r="K18" s="21"/>
      <c r="L18" s="2"/>
      <c r="M18" s="2"/>
      <c r="N18" s="14"/>
    </row>
    <row r="19" spans="2:14" x14ac:dyDescent="0.25">
      <c r="B19" s="5"/>
      <c r="C19" s="2"/>
      <c r="D19" s="2"/>
      <c r="E19" s="2"/>
      <c r="F19" s="21"/>
      <c r="G19" s="5"/>
      <c r="H19" s="2"/>
      <c r="I19" s="2"/>
      <c r="J19" s="2"/>
      <c r="K19" s="21"/>
      <c r="L19" s="2"/>
      <c r="M19" s="2"/>
      <c r="N19" s="2"/>
    </row>
    <row r="20" spans="2:14" x14ac:dyDescent="0.25">
      <c r="B20" s="5"/>
      <c r="C20" s="2"/>
      <c r="D20" s="2"/>
      <c r="E20" s="2"/>
      <c r="F20" s="21"/>
      <c r="G20" s="5"/>
      <c r="H20" s="2"/>
      <c r="I20" s="2"/>
      <c r="J20" s="2"/>
      <c r="K20" s="21"/>
      <c r="L20" s="2"/>
      <c r="M20" s="2"/>
      <c r="N20" s="8"/>
    </row>
    <row r="21" spans="2:14" x14ac:dyDescent="0.25">
      <c r="B21" s="5"/>
      <c r="C21" s="2"/>
      <c r="D21" s="2"/>
      <c r="E21" s="2"/>
      <c r="F21" s="21"/>
      <c r="G21" s="5"/>
      <c r="H21" s="2"/>
      <c r="I21" s="2"/>
      <c r="J21" s="2"/>
      <c r="K21" s="21"/>
      <c r="L21" s="2"/>
      <c r="M21" s="2"/>
      <c r="N21" s="2"/>
    </row>
    <row r="22" spans="2:14" x14ac:dyDescent="0.25">
      <c r="B22" s="5"/>
      <c r="C22" s="2"/>
      <c r="D22" s="2"/>
      <c r="E22" s="2"/>
      <c r="F22" s="21"/>
      <c r="G22" s="5"/>
      <c r="H22" s="2"/>
      <c r="I22" s="2"/>
      <c r="J22" s="2"/>
      <c r="K22" s="21"/>
      <c r="L22" s="2"/>
      <c r="M22" s="2"/>
      <c r="N22" s="2"/>
    </row>
    <row r="23" spans="2:14" x14ac:dyDescent="0.25">
      <c r="B23" s="5" t="s">
        <v>263</v>
      </c>
      <c r="C23" s="2"/>
      <c r="D23" s="2"/>
      <c r="E23" s="43">
        <f>'Affordability Calculator'!C49</f>
        <v>0</v>
      </c>
      <c r="F23" s="21"/>
      <c r="G23" s="5"/>
      <c r="H23" s="2"/>
      <c r="I23" s="2"/>
      <c r="J23" s="43">
        <f>'Affordability Calculator'!C49</f>
        <v>0</v>
      </c>
      <c r="K23" s="21"/>
      <c r="L23" s="2"/>
      <c r="M23" s="2"/>
      <c r="N23" s="2"/>
    </row>
    <row r="24" spans="2:14" ht="15.75" thickBot="1" x14ac:dyDescent="0.3">
      <c r="B24" s="24" t="s">
        <v>169</v>
      </c>
      <c r="C24" s="25"/>
      <c r="D24" s="25"/>
      <c r="E24" s="26">
        <f>(E23*E15)/12</f>
        <v>0</v>
      </c>
      <c r="F24" s="27"/>
      <c r="G24" s="24" t="s">
        <v>169</v>
      </c>
      <c r="H24" s="25"/>
      <c r="I24" s="25"/>
      <c r="J24" s="26" t="e">
        <f>(J23*J15)/12</f>
        <v>#N/A</v>
      </c>
      <c r="K24" s="27"/>
      <c r="L24" s="2"/>
      <c r="M24" s="2"/>
      <c r="N24" s="2"/>
    </row>
    <row r="25" spans="2:14" x14ac:dyDescent="0.25">
      <c r="B25" s="2"/>
      <c r="C25" s="2"/>
      <c r="D25" s="2"/>
      <c r="E25" s="2"/>
      <c r="F25" s="2"/>
      <c r="G25" s="8"/>
      <c r="H25" s="2"/>
      <c r="I25" s="2"/>
      <c r="J25" s="2"/>
      <c r="K25" s="2"/>
      <c r="L25" s="2"/>
      <c r="M25" s="2"/>
      <c r="N25" s="2"/>
    </row>
    <row r="26" spans="2:14" x14ac:dyDescent="0.25">
      <c r="B26" s="2"/>
      <c r="C26" s="2"/>
      <c r="D26" s="2"/>
      <c r="E26" s="2"/>
      <c r="F26" s="2"/>
      <c r="G26" s="2"/>
      <c r="H26" s="2"/>
      <c r="I26" s="2"/>
      <c r="J26" s="2"/>
      <c r="K26" s="2"/>
      <c r="L26" s="2"/>
      <c r="M26" s="2"/>
      <c r="N26" s="2"/>
    </row>
    <row r="27" spans="2:14" x14ac:dyDescent="0.25">
      <c r="B27" s="15" t="s">
        <v>179</v>
      </c>
      <c r="C27" s="2"/>
      <c r="D27" s="2"/>
      <c r="E27" s="33" t="e">
        <f>E18+E24</f>
        <v>#NUM!</v>
      </c>
      <c r="F27" s="2"/>
      <c r="G27" s="2"/>
      <c r="H27" s="2"/>
      <c r="I27" s="2"/>
      <c r="J27" s="33" t="e">
        <f>J18+J24</f>
        <v>#N/A</v>
      </c>
      <c r="K27" s="2"/>
      <c r="L27" s="2"/>
      <c r="M27" s="2"/>
      <c r="N27" s="2"/>
    </row>
  </sheetData>
  <sheetProtection algorithmName="SHA-512" hashValue="HVKoN/4Ga1E6q+Vjpw9hFbKSfbPu7m1Ed1looH3mV+P9kK168L+UZXi2hk4aHFjrkgPuRvPL9KC8UNest1ApSA==" saltValue="n7opUoeH17q8Np3NWh1h4w==" spinCount="100000" sheet="1" objects="1" scenarios="1"/>
  <customSheetViews>
    <customSheetView guid="{0C762E80-EE8B-4405-B1DD-B3A926628697}" state="hidden">
      <selection activeCell="M17" sqref="M17"/>
      <pageMargins left="0.7" right="0.7" top="0.75" bottom="0.75" header="0.3" footer="0.3"/>
    </customSheetView>
  </customSheetViews>
  <mergeCells count="2">
    <mergeCell ref="B2:F2"/>
    <mergeCell ref="G2:K2"/>
  </mergeCells>
  <pageMargins left="0.7" right="0.7" top="0.75" bottom="0.75" header="0.3" footer="0.3"/>
  <pageSetup paperSize="9" orientation="portrait" verticalDpi="0" r:id="rId1"/>
  <headerFooter>
    <oddFooter>&amp;C_x000D_&amp;1#&amp;"Calibri"&amp;10&amp;K000000 HIGHLY CONFIDENTIAL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5215F-A730-4E60-BF35-5DA283B1724E}">
  <sheetPr codeName="Sheet6"/>
  <dimension ref="A2:O27"/>
  <sheetViews>
    <sheetView showGridLines="0" zoomScaleNormal="100" workbookViewId="0">
      <selection activeCell="M36" sqref="M36"/>
    </sheetView>
  </sheetViews>
  <sheetFormatPr defaultColWidth="9.140625" defaultRowHeight="15" x14ac:dyDescent="0.25"/>
  <cols>
    <col min="1" max="4" width="9.140625" style="71"/>
    <col min="5" max="5" width="12.5703125" style="71" customWidth="1"/>
    <col min="6" max="6" width="9.140625" style="71"/>
    <col min="10" max="10" width="13" bestFit="1" customWidth="1"/>
    <col min="13" max="13" width="35.28515625" bestFit="1" customWidth="1"/>
    <col min="14" max="14" width="12.42578125" bestFit="1" customWidth="1"/>
    <col min="15" max="15" width="9.85546875" bestFit="1" customWidth="1"/>
  </cols>
  <sheetData>
    <row r="2" spans="2:15" x14ac:dyDescent="0.25">
      <c r="B2" s="765" t="s">
        <v>261</v>
      </c>
      <c r="C2" s="765"/>
      <c r="D2" s="765"/>
      <c r="E2" s="765"/>
      <c r="F2" s="765"/>
      <c r="G2" s="765" t="s">
        <v>262</v>
      </c>
      <c r="H2" s="765"/>
      <c r="I2" s="765"/>
      <c r="J2" s="765"/>
      <c r="K2" s="765"/>
    </row>
    <row r="3" spans="2:15" ht="15.75" thickBot="1" x14ac:dyDescent="0.3">
      <c r="B3" s="2"/>
      <c r="C3" s="2"/>
      <c r="D3" s="2"/>
      <c r="E3" s="2"/>
      <c r="F3" s="2"/>
      <c r="G3" s="2"/>
      <c r="H3" s="2"/>
      <c r="I3" s="2"/>
      <c r="J3" s="2"/>
      <c r="K3" s="2"/>
      <c r="L3" s="2"/>
      <c r="M3" s="2"/>
      <c r="N3" s="2"/>
    </row>
    <row r="4" spans="2:15" ht="15.75" thickBot="1" x14ac:dyDescent="0.3">
      <c r="B4" s="3" t="s">
        <v>167</v>
      </c>
      <c r="C4" s="18"/>
      <c r="D4" s="18"/>
      <c r="E4" s="19" t="e">
        <f>VLOOKUP('E Calc'!D9, 'Mortgage Repayments (E)'!$M$5:$O$7, 2, FALSE)</f>
        <v>#NUM!</v>
      </c>
      <c r="F4" s="20"/>
      <c r="G4" s="3" t="s">
        <v>167</v>
      </c>
      <c r="H4" s="18"/>
      <c r="I4" s="18"/>
      <c r="J4" s="195" t="e">
        <f>VLOOKUP('E Calc'!D9, 'Mortgage Repayments (E)'!$M$5:$O$7, 3, FALSE)</f>
        <v>#N/A</v>
      </c>
      <c r="K4" s="20"/>
      <c r="L4" s="2"/>
      <c r="M4" s="2"/>
      <c r="N4" s="194" t="s">
        <v>560</v>
      </c>
      <c r="O4" t="s">
        <v>559</v>
      </c>
    </row>
    <row r="5" spans="2:15" x14ac:dyDescent="0.25">
      <c r="B5" s="5"/>
      <c r="C5" s="2"/>
      <c r="D5" s="2"/>
      <c r="E5" s="2"/>
      <c r="F5" s="21"/>
      <c r="G5" s="5"/>
      <c r="H5" s="2"/>
      <c r="I5" s="2"/>
      <c r="J5" s="2"/>
      <c r="K5" s="21"/>
      <c r="L5" s="2"/>
      <c r="M5" s="3" t="s">
        <v>168</v>
      </c>
      <c r="N5" s="4" t="e">
        <f>E18</f>
        <v>#NUM!</v>
      </c>
      <c r="O5" s="4" t="e">
        <f>J18</f>
        <v>#N/A</v>
      </c>
    </row>
    <row r="6" spans="2:15" x14ac:dyDescent="0.25">
      <c r="B6" s="5"/>
      <c r="C6" s="2"/>
      <c r="D6" s="2"/>
      <c r="E6" s="2"/>
      <c r="F6" s="21"/>
      <c r="G6" s="5"/>
      <c r="H6" s="2"/>
      <c r="I6" s="2"/>
      <c r="J6" s="2"/>
      <c r="K6" s="21"/>
      <c r="L6" s="2"/>
      <c r="M6" s="5" t="s">
        <v>558</v>
      </c>
      <c r="N6" s="6">
        <f>E24</f>
        <v>0</v>
      </c>
      <c r="O6" s="6" t="e">
        <f>J24</f>
        <v>#N/A</v>
      </c>
    </row>
    <row r="7" spans="2:15" ht="15.75" thickBot="1" x14ac:dyDescent="0.3">
      <c r="B7" s="5"/>
      <c r="C7" s="2"/>
      <c r="D7" s="2"/>
      <c r="E7" s="2"/>
      <c r="F7" s="21"/>
      <c r="G7" s="5"/>
      <c r="H7" s="2"/>
      <c r="I7" s="2"/>
      <c r="J7" s="2"/>
      <c r="K7" s="21"/>
      <c r="L7" s="2"/>
      <c r="M7" s="7" t="s">
        <v>170</v>
      </c>
      <c r="N7" s="40" t="e">
        <f>E27</f>
        <v>#NUM!</v>
      </c>
      <c r="O7" s="40" t="e">
        <f>J27</f>
        <v>#N/A</v>
      </c>
    </row>
    <row r="8" spans="2:15" x14ac:dyDescent="0.25">
      <c r="B8" s="5" t="s">
        <v>168</v>
      </c>
      <c r="C8" s="2"/>
      <c r="D8" s="2"/>
      <c r="E8" s="2"/>
      <c r="F8" s="21"/>
      <c r="G8" s="5" t="s">
        <v>168</v>
      </c>
      <c r="H8" s="2"/>
      <c r="I8" s="2"/>
      <c r="J8" s="2"/>
      <c r="K8" s="21"/>
      <c r="L8" s="2"/>
      <c r="M8" s="2"/>
      <c r="N8" s="2"/>
    </row>
    <row r="9" spans="2:15" ht="15.75" thickBot="1" x14ac:dyDescent="0.3">
      <c r="B9" s="5"/>
      <c r="C9" s="2"/>
      <c r="D9" s="2"/>
      <c r="E9" s="2"/>
      <c r="F9" s="21"/>
      <c r="G9" s="5"/>
      <c r="H9" s="2"/>
      <c r="I9" s="2"/>
      <c r="J9" s="2"/>
      <c r="K9" s="21"/>
      <c r="L9" s="2"/>
      <c r="M9" s="2"/>
      <c r="N9" s="2"/>
    </row>
    <row r="10" spans="2:15" x14ac:dyDescent="0.25">
      <c r="B10" s="5"/>
      <c r="C10" s="2" t="s">
        <v>171</v>
      </c>
      <c r="D10" s="2"/>
      <c r="E10" s="187">
        <f>J10</f>
        <v>0</v>
      </c>
      <c r="F10" s="21"/>
      <c r="G10" s="5"/>
      <c r="H10" s="2" t="s">
        <v>171</v>
      </c>
      <c r="I10" s="2"/>
      <c r="J10" s="187">
        <f>'E Calc'!D11</f>
        <v>0</v>
      </c>
      <c r="K10" s="21"/>
      <c r="L10" s="2"/>
      <c r="M10" s="28" t="s">
        <v>557</v>
      </c>
      <c r="N10" s="29">
        <f>'E Calc'!D17</f>
        <v>0</v>
      </c>
      <c r="O10" t="s">
        <v>185</v>
      </c>
    </row>
    <row r="11" spans="2:15" x14ac:dyDescent="0.25">
      <c r="B11" s="5"/>
      <c r="C11" s="2"/>
      <c r="D11" s="2"/>
      <c r="E11" s="2"/>
      <c r="F11" s="21"/>
      <c r="G11" s="5"/>
      <c r="H11" s="2"/>
      <c r="I11" s="2"/>
      <c r="J11" s="2"/>
      <c r="K11" s="21"/>
      <c r="L11" s="2"/>
      <c r="M11" s="30" t="s">
        <v>556</v>
      </c>
      <c r="N11" s="31">
        <f>'E Calc'!D17+1%</f>
        <v>0.01</v>
      </c>
    </row>
    <row r="12" spans="2:15" x14ac:dyDescent="0.25">
      <c r="B12" s="5"/>
      <c r="C12" s="2" t="s">
        <v>172</v>
      </c>
      <c r="D12" s="2"/>
      <c r="E12" s="193">
        <f>J12</f>
        <v>0</v>
      </c>
      <c r="F12" s="21" t="s">
        <v>173</v>
      </c>
      <c r="G12" s="5"/>
      <c r="H12" s="2" t="s">
        <v>172</v>
      </c>
      <c r="I12" s="2"/>
      <c r="J12" s="193">
        <f>'E Calc'!D7</f>
        <v>0</v>
      </c>
      <c r="K12" s="21" t="s">
        <v>173</v>
      </c>
      <c r="L12" s="2"/>
      <c r="M12" s="30" t="s">
        <v>555</v>
      </c>
      <c r="N12" s="486">
        <f>IF(E15+1%&gt;6.79%,E15+1%,6.79%)</f>
        <v>6.7900000000000002E-2</v>
      </c>
    </row>
    <row r="13" spans="2:15" ht="15.75" thickBot="1" x14ac:dyDescent="0.3">
      <c r="B13" s="5"/>
      <c r="C13" s="2"/>
      <c r="D13" s="17"/>
      <c r="E13" s="16">
        <f>E12*12</f>
        <v>0</v>
      </c>
      <c r="F13" s="22" t="s">
        <v>174</v>
      </c>
      <c r="G13" s="5"/>
      <c r="H13" s="2"/>
      <c r="I13" s="17"/>
      <c r="J13" s="16">
        <f>J12*12</f>
        <v>0</v>
      </c>
      <c r="K13" s="22" t="s">
        <v>174</v>
      </c>
      <c r="L13" s="2"/>
      <c r="M13" s="192" t="s">
        <v>554</v>
      </c>
      <c r="N13" s="191"/>
    </row>
    <row r="14" spans="2:15" x14ac:dyDescent="0.25">
      <c r="B14" s="5"/>
      <c r="C14" s="2"/>
      <c r="D14" s="2"/>
      <c r="E14" s="2"/>
      <c r="F14" s="21"/>
      <c r="G14" s="5"/>
      <c r="H14" s="2"/>
      <c r="I14" s="2"/>
      <c r="J14" s="2"/>
      <c r="K14" s="21"/>
      <c r="L14" s="2"/>
    </row>
    <row r="15" spans="2:15" x14ac:dyDescent="0.25">
      <c r="B15" s="5"/>
      <c r="C15" s="17" t="s">
        <v>175</v>
      </c>
      <c r="D15" s="17"/>
      <c r="E15" s="190">
        <f>Enquiry!T38</f>
        <v>0</v>
      </c>
      <c r="F15" s="21" t="s">
        <v>176</v>
      </c>
      <c r="G15" s="5"/>
      <c r="H15" s="17" t="s">
        <v>175</v>
      </c>
      <c r="I15" s="17"/>
      <c r="J15" s="189" t="e">
        <f>VLOOKUP('E Calc'!D15, 'Mortgage Repayments (E)'!M10:N13, 2, FALSE)</f>
        <v>#N/A</v>
      </c>
      <c r="K15" s="21" t="s">
        <v>176</v>
      </c>
      <c r="L15" s="2"/>
      <c r="M15" s="10"/>
      <c r="N15" s="188"/>
    </row>
    <row r="16" spans="2:15" x14ac:dyDescent="0.25">
      <c r="B16" s="5"/>
      <c r="C16" s="2"/>
      <c r="D16" s="17" t="s">
        <v>177</v>
      </c>
      <c r="E16" s="16">
        <f>E15/12</f>
        <v>0</v>
      </c>
      <c r="F16" s="21"/>
      <c r="G16" s="5"/>
      <c r="H16" s="2"/>
      <c r="I16" s="17" t="s">
        <v>177</v>
      </c>
      <c r="J16" s="16" t="e">
        <f>J15/12</f>
        <v>#N/A</v>
      </c>
      <c r="K16" s="21"/>
      <c r="L16" s="2"/>
      <c r="M16" s="2"/>
      <c r="N16" s="2"/>
    </row>
    <row r="17" spans="2:14" x14ac:dyDescent="0.25">
      <c r="B17" s="5"/>
      <c r="C17" s="2"/>
      <c r="D17" s="2"/>
      <c r="E17" s="17"/>
      <c r="F17" s="21"/>
      <c r="G17" s="5"/>
      <c r="H17" s="2"/>
      <c r="I17" s="2"/>
      <c r="J17" s="17"/>
      <c r="K17" s="21"/>
      <c r="L17" s="2"/>
      <c r="M17" s="2"/>
      <c r="N17" s="2"/>
    </row>
    <row r="18" spans="2:14" x14ac:dyDescent="0.25">
      <c r="B18" s="5"/>
      <c r="C18" s="2" t="s">
        <v>178</v>
      </c>
      <c r="D18" s="2"/>
      <c r="E18" s="23" t="e">
        <f>-PMT(E16,E13,E10)</f>
        <v>#NUM!</v>
      </c>
      <c r="F18" s="21"/>
      <c r="G18" s="5"/>
      <c r="H18" s="2" t="s">
        <v>178</v>
      </c>
      <c r="I18" s="2"/>
      <c r="J18" s="23" t="e">
        <f>-PMT(J16,J13,J10)</f>
        <v>#N/A</v>
      </c>
      <c r="K18" s="21"/>
      <c r="L18" s="2"/>
      <c r="M18" s="2"/>
      <c r="N18" s="14"/>
    </row>
    <row r="19" spans="2:14" x14ac:dyDescent="0.25">
      <c r="B19" s="5"/>
      <c r="C19" s="2"/>
      <c r="D19" s="2"/>
      <c r="E19" s="2"/>
      <c r="F19" s="21"/>
      <c r="G19" s="5"/>
      <c r="H19" s="2"/>
      <c r="I19" s="2"/>
      <c r="J19" s="2"/>
      <c r="K19" s="21"/>
      <c r="L19" s="2"/>
      <c r="M19" s="2"/>
      <c r="N19" s="2"/>
    </row>
    <row r="20" spans="2:14" x14ac:dyDescent="0.25">
      <c r="B20" s="5"/>
      <c r="C20" s="2"/>
      <c r="D20" s="2"/>
      <c r="E20" s="2"/>
      <c r="F20" s="21"/>
      <c r="G20" s="5"/>
      <c r="H20" s="2"/>
      <c r="I20" s="2"/>
      <c r="J20" s="2"/>
      <c r="K20" s="21"/>
      <c r="L20" s="2"/>
      <c r="M20" s="2"/>
      <c r="N20" s="8"/>
    </row>
    <row r="21" spans="2:14" x14ac:dyDescent="0.25">
      <c r="B21" s="5"/>
      <c r="C21" s="2"/>
      <c r="D21" s="2"/>
      <c r="E21" s="2"/>
      <c r="F21" s="21"/>
      <c r="G21" s="5"/>
      <c r="H21" s="2"/>
      <c r="I21" s="2"/>
      <c r="J21" s="2"/>
      <c r="K21" s="21"/>
      <c r="L21" s="2"/>
      <c r="M21" s="2"/>
      <c r="N21" s="2"/>
    </row>
    <row r="22" spans="2:14" x14ac:dyDescent="0.25">
      <c r="B22" s="5"/>
      <c r="C22" s="2"/>
      <c r="D22" s="2"/>
      <c r="E22" s="2"/>
      <c r="F22" s="21"/>
      <c r="G22" s="5"/>
      <c r="H22" s="2"/>
      <c r="I22" s="2"/>
      <c r="J22" s="2"/>
      <c r="K22" s="21"/>
      <c r="L22" s="2"/>
      <c r="M22" s="2"/>
      <c r="N22" s="2"/>
    </row>
    <row r="23" spans="2:14" x14ac:dyDescent="0.25">
      <c r="B23" s="5" t="s">
        <v>263</v>
      </c>
      <c r="C23" s="2"/>
      <c r="D23" s="2"/>
      <c r="E23" s="43">
        <f>J23</f>
        <v>0</v>
      </c>
      <c r="F23" s="21"/>
      <c r="G23" s="5"/>
      <c r="H23" s="2"/>
      <c r="I23" s="2"/>
      <c r="J23" s="187">
        <f>'E Calc'!D13</f>
        <v>0</v>
      </c>
      <c r="K23" s="21"/>
      <c r="L23" s="2"/>
      <c r="M23" s="2"/>
      <c r="N23" s="2"/>
    </row>
    <row r="24" spans="2:14" ht="15.75" thickBot="1" x14ac:dyDescent="0.3">
      <c r="B24" s="24" t="s">
        <v>169</v>
      </c>
      <c r="C24" s="25"/>
      <c r="D24" s="25"/>
      <c r="E24" s="26">
        <f>(E23*E15)/12</f>
        <v>0</v>
      </c>
      <c r="F24" s="27"/>
      <c r="G24" s="24" t="s">
        <v>169</v>
      </c>
      <c r="H24" s="25"/>
      <c r="I24" s="25"/>
      <c r="J24" s="26" t="e">
        <f>(J23*J15)/12</f>
        <v>#N/A</v>
      </c>
      <c r="K24" s="27"/>
      <c r="L24" s="2"/>
      <c r="M24" s="2"/>
      <c r="N24" s="2"/>
    </row>
    <row r="25" spans="2:14" x14ac:dyDescent="0.25">
      <c r="B25" s="2"/>
      <c r="C25" s="2"/>
      <c r="D25" s="2"/>
      <c r="E25" s="2"/>
      <c r="F25" s="2"/>
      <c r="G25" s="8"/>
      <c r="H25" s="2"/>
      <c r="I25" s="2"/>
      <c r="J25" s="2"/>
      <c r="K25" s="2"/>
      <c r="L25" s="2"/>
      <c r="M25" s="2"/>
      <c r="N25" s="2"/>
    </row>
    <row r="26" spans="2:14" x14ac:dyDescent="0.25">
      <c r="B26" s="2"/>
      <c r="C26" s="2"/>
      <c r="D26" s="2"/>
      <c r="E26" s="2"/>
      <c r="F26" s="2"/>
      <c r="G26" s="2"/>
      <c r="H26" s="2"/>
      <c r="I26" s="2"/>
      <c r="J26" s="2"/>
      <c r="K26" s="2"/>
      <c r="L26" s="2"/>
      <c r="M26" s="2"/>
      <c r="N26" s="2"/>
    </row>
    <row r="27" spans="2:14" x14ac:dyDescent="0.25">
      <c r="B27" s="15" t="s">
        <v>179</v>
      </c>
      <c r="C27" s="2"/>
      <c r="D27" s="2"/>
      <c r="E27" s="33" t="e">
        <f>E18+E24</f>
        <v>#NUM!</v>
      </c>
      <c r="F27" s="2"/>
      <c r="G27" s="2"/>
      <c r="H27" s="2"/>
      <c r="I27" s="2"/>
      <c r="J27" s="33" t="e">
        <f>J18+J24</f>
        <v>#N/A</v>
      </c>
      <c r="K27" s="2"/>
      <c r="L27" s="2"/>
      <c r="M27" s="2"/>
      <c r="N27" s="2"/>
    </row>
  </sheetData>
  <sheetProtection algorithmName="SHA-512" hashValue="eVHWq7xpeCaudnFM8R/tv/dSVvS7X0iRjY+e1adQbbW6lJmXKkjgstkEQGgaUAJmqpb7ZnoJbWgEzoy5bBwBEA==" saltValue="65DHoaJRj1+BOxRJrLq5pQ==" spinCount="100000" sheet="1" objects="1" scenarios="1"/>
  <mergeCells count="2">
    <mergeCell ref="B2:F2"/>
    <mergeCell ref="G2:K2"/>
  </mergeCells>
  <pageMargins left="0.7" right="0.7" top="0.75" bottom="0.75" header="0.3" footer="0.3"/>
  <pageSetup paperSize="9" scale="47" orientation="portrait" verticalDpi="0" r:id="rId1"/>
  <headerFooter>
    <oddFooter>&amp;C_x000D_&amp;1#&amp;"Calibri"&amp;10&amp;K000000 HIGHLY CONFIDENTIAL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2:R66"/>
  <sheetViews>
    <sheetView showGridLines="0" zoomScale="80" zoomScaleNormal="80" workbookViewId="0">
      <selection activeCell="P2" sqref="P2"/>
    </sheetView>
  </sheetViews>
  <sheetFormatPr defaultRowHeight="15" x14ac:dyDescent="0.25"/>
  <cols>
    <col min="2" max="2" width="3.42578125" bestFit="1" customWidth="1"/>
    <col min="3" max="3" width="33.42578125" customWidth="1"/>
    <col min="4" max="4" width="10.140625" bestFit="1" customWidth="1"/>
    <col min="5" max="5" width="12.7109375" bestFit="1" customWidth="1"/>
    <col min="6" max="6" width="16" bestFit="1" customWidth="1"/>
    <col min="7" max="8" width="9.28515625" bestFit="1" customWidth="1"/>
    <col min="9" max="10" width="8.140625" bestFit="1" customWidth="1"/>
    <col min="11" max="11" width="10.140625" bestFit="1" customWidth="1"/>
    <col min="12" max="12" width="11.28515625" bestFit="1" customWidth="1"/>
    <col min="13" max="13" width="8" bestFit="1" customWidth="1"/>
    <col min="14" max="14" width="8.7109375" bestFit="1" customWidth="1"/>
    <col min="18" max="18" width="42.7109375" bestFit="1" customWidth="1"/>
  </cols>
  <sheetData>
    <row r="2" spans="2:18" x14ac:dyDescent="0.25">
      <c r="C2" s="408" t="s">
        <v>678</v>
      </c>
    </row>
    <row r="3" spans="2:18" ht="30.75" thickBot="1" x14ac:dyDescent="0.3">
      <c r="B3">
        <v>1</v>
      </c>
      <c r="C3" s="409" t="s">
        <v>124</v>
      </c>
      <c r="D3" s="410" t="s">
        <v>119</v>
      </c>
      <c r="E3" s="410" t="s">
        <v>120</v>
      </c>
      <c r="F3" s="410" t="s">
        <v>118</v>
      </c>
      <c r="G3" s="410" t="s">
        <v>116</v>
      </c>
      <c r="H3" s="410" t="s">
        <v>117</v>
      </c>
      <c r="I3" s="410" t="s">
        <v>294</v>
      </c>
      <c r="J3" s="410" t="s">
        <v>113</v>
      </c>
      <c r="K3" s="410" t="s">
        <v>114</v>
      </c>
      <c r="L3" s="410" t="s">
        <v>115</v>
      </c>
      <c r="M3" s="410" t="s">
        <v>121</v>
      </c>
      <c r="N3" s="410" t="s">
        <v>122</v>
      </c>
      <c r="R3" s="411" t="s">
        <v>553</v>
      </c>
    </row>
    <row r="4" spans="2:18" x14ac:dyDescent="0.25">
      <c r="B4">
        <v>2</v>
      </c>
      <c r="C4" s="412"/>
      <c r="D4" s="413"/>
      <c r="E4" s="413"/>
      <c r="F4" s="413"/>
      <c r="G4" s="413"/>
      <c r="H4" s="413"/>
      <c r="I4" s="413"/>
      <c r="J4" s="413"/>
      <c r="K4" s="413"/>
      <c r="L4" s="413"/>
      <c r="M4" s="413"/>
      <c r="N4" s="413"/>
      <c r="R4" s="414" t="s">
        <v>552</v>
      </c>
    </row>
    <row r="5" spans="2:18" x14ac:dyDescent="0.25">
      <c r="B5">
        <v>3</v>
      </c>
      <c r="C5" s="402"/>
      <c r="D5" s="407"/>
      <c r="E5" s="407"/>
      <c r="F5" s="407"/>
      <c r="G5" s="407"/>
      <c r="H5" s="407"/>
      <c r="I5" s="407"/>
      <c r="J5" s="407"/>
      <c r="K5" s="407"/>
      <c r="L5" s="407"/>
      <c r="M5" s="407"/>
      <c r="N5" s="407"/>
      <c r="R5" s="414" t="s">
        <v>551</v>
      </c>
    </row>
    <row r="6" spans="2:18" x14ac:dyDescent="0.25">
      <c r="B6">
        <v>4</v>
      </c>
      <c r="C6" t="s">
        <v>127</v>
      </c>
      <c r="D6" s="484">
        <v>69.896493333333339</v>
      </c>
      <c r="E6" s="484">
        <v>79.881706666666673</v>
      </c>
      <c r="F6" s="484">
        <v>64.903886666666679</v>
      </c>
      <c r="G6" s="484">
        <v>70.350366666666673</v>
      </c>
      <c r="H6" s="484">
        <v>72.165860000000009</v>
      </c>
      <c r="I6" s="484">
        <v>78.520086666666671</v>
      </c>
      <c r="J6" s="484">
        <v>88.051426666666671</v>
      </c>
      <c r="K6" s="484">
        <v>66.719380000000015</v>
      </c>
      <c r="L6" s="484">
        <v>72.619733333333329</v>
      </c>
      <c r="M6" s="484">
        <v>73.073606666666677</v>
      </c>
      <c r="N6" s="484">
        <v>63.54226666666667</v>
      </c>
      <c r="R6" s="414" t="s">
        <v>550</v>
      </c>
    </row>
    <row r="7" spans="2:18" x14ac:dyDescent="0.25">
      <c r="B7">
        <v>5</v>
      </c>
      <c r="C7" t="s">
        <v>131</v>
      </c>
      <c r="D7" s="484">
        <v>88.959173333333354</v>
      </c>
      <c r="E7" s="484">
        <v>94.405653333333348</v>
      </c>
      <c r="F7" s="484">
        <v>92.136286666666692</v>
      </c>
      <c r="G7" s="484">
        <v>99.398260000000008</v>
      </c>
      <c r="H7" s="484">
        <v>95.76727333333335</v>
      </c>
      <c r="I7" s="484">
        <v>104.39086666666668</v>
      </c>
      <c r="J7" s="484">
        <v>97.582766666666686</v>
      </c>
      <c r="K7" s="484">
        <v>100.30600666666668</v>
      </c>
      <c r="L7" s="484">
        <v>93.951779999999999</v>
      </c>
      <c r="M7" s="484">
        <v>92.136286666666692</v>
      </c>
      <c r="N7" s="484">
        <v>95.313400000000016</v>
      </c>
      <c r="R7" s="414" t="s">
        <v>549</v>
      </c>
    </row>
    <row r="8" spans="2:18" x14ac:dyDescent="0.25">
      <c r="B8" s="415">
        <v>6</v>
      </c>
      <c r="C8" s="415" t="s">
        <v>133</v>
      </c>
      <c r="D8" s="416"/>
      <c r="E8" s="416"/>
      <c r="F8" s="416"/>
      <c r="G8" s="416"/>
      <c r="H8" s="416"/>
      <c r="I8" s="416"/>
      <c r="J8" s="416"/>
      <c r="K8" s="416"/>
      <c r="L8" s="416"/>
      <c r="M8" s="416"/>
      <c r="N8" s="416"/>
      <c r="R8" s="414" t="s">
        <v>548</v>
      </c>
    </row>
    <row r="9" spans="2:18" x14ac:dyDescent="0.25">
      <c r="B9">
        <v>7</v>
      </c>
      <c r="C9" t="s">
        <v>126</v>
      </c>
      <c r="D9" s="484">
        <v>264.15428000000003</v>
      </c>
      <c r="E9" s="484">
        <v>291.38668000000001</v>
      </c>
      <c r="F9" s="484">
        <v>277.31660666666676</v>
      </c>
      <c r="G9" s="484">
        <v>302.73351333333341</v>
      </c>
      <c r="H9" s="484">
        <v>292.74830000000003</v>
      </c>
      <c r="I9" s="484">
        <v>312.26485333333335</v>
      </c>
      <c r="J9" s="484">
        <v>288.20956666666672</v>
      </c>
      <c r="K9" s="484">
        <v>316.3497133333334</v>
      </c>
      <c r="L9" s="484">
        <v>312.26485333333335</v>
      </c>
      <c r="M9" s="484">
        <v>282.30921333333339</v>
      </c>
      <c r="N9" s="484">
        <v>279.13210000000004</v>
      </c>
      <c r="R9" s="414" t="s">
        <v>547</v>
      </c>
    </row>
    <row r="10" spans="2:18" x14ac:dyDescent="0.25">
      <c r="B10">
        <v>8</v>
      </c>
      <c r="C10" t="s">
        <v>129</v>
      </c>
      <c r="D10" s="484">
        <v>23.147539999999999</v>
      </c>
      <c r="E10" s="484">
        <v>36.763740000000006</v>
      </c>
      <c r="F10" s="484">
        <v>43.117966666666668</v>
      </c>
      <c r="G10" s="484">
        <v>37.217613333333333</v>
      </c>
      <c r="H10" s="484">
        <v>44.933460000000011</v>
      </c>
      <c r="I10" s="484">
        <v>39.486980000000003</v>
      </c>
      <c r="J10" s="484">
        <v>37.217613333333333</v>
      </c>
      <c r="K10" s="484">
        <v>44.479586666666677</v>
      </c>
      <c r="L10" s="484">
        <v>39.486980000000003</v>
      </c>
      <c r="M10" s="484">
        <v>34.94824666666667</v>
      </c>
      <c r="N10" s="484">
        <v>29.047893333333338</v>
      </c>
      <c r="R10" s="414" t="s">
        <v>546</v>
      </c>
    </row>
    <row r="11" spans="2:18" x14ac:dyDescent="0.25">
      <c r="B11">
        <v>9</v>
      </c>
      <c r="C11" t="s">
        <v>128</v>
      </c>
      <c r="D11" s="484">
        <v>152.50144</v>
      </c>
      <c r="E11" s="484">
        <v>157.94792000000001</v>
      </c>
      <c r="F11" s="484">
        <v>173.37961333333334</v>
      </c>
      <c r="G11" s="484">
        <v>141.60848000000004</v>
      </c>
      <c r="H11" s="484">
        <v>133.89263333333335</v>
      </c>
      <c r="I11" s="484">
        <v>163.84827333333334</v>
      </c>
      <c r="J11" s="484">
        <v>137.97749333333334</v>
      </c>
      <c r="K11" s="484">
        <v>173.83348666666669</v>
      </c>
      <c r="L11" s="484">
        <v>182.45707999999999</v>
      </c>
      <c r="M11" s="484">
        <v>132.53101333333333</v>
      </c>
      <c r="N11" s="484">
        <v>140.70073333333332</v>
      </c>
      <c r="R11" s="414" t="s">
        <v>545</v>
      </c>
    </row>
    <row r="12" spans="2:18" x14ac:dyDescent="0.25">
      <c r="B12">
        <v>10</v>
      </c>
      <c r="C12" t="s">
        <v>130</v>
      </c>
      <c r="D12" s="484">
        <v>210.59722666666673</v>
      </c>
      <c r="E12" s="484">
        <v>238.73737333333332</v>
      </c>
      <c r="F12" s="484">
        <v>237.37575333333336</v>
      </c>
      <c r="G12" s="484">
        <v>243.27610666666669</v>
      </c>
      <c r="H12" s="484">
        <v>239.64512000000008</v>
      </c>
      <c r="I12" s="484">
        <v>273.23174666666671</v>
      </c>
      <c r="J12" s="484">
        <v>259.16167333333334</v>
      </c>
      <c r="K12" s="484">
        <v>279.58597333333336</v>
      </c>
      <c r="L12" s="484">
        <v>275.04723999999999</v>
      </c>
      <c r="M12" s="484">
        <v>251.44582666666665</v>
      </c>
      <c r="N12" s="484">
        <v>236.4680066666667</v>
      </c>
      <c r="R12" s="414" t="s">
        <v>544</v>
      </c>
    </row>
    <row r="13" spans="2:18" x14ac:dyDescent="0.25">
      <c r="B13">
        <v>11</v>
      </c>
      <c r="C13" t="s">
        <v>310</v>
      </c>
      <c r="D13" s="484">
        <v>99.398260000000036</v>
      </c>
      <c r="E13" s="484">
        <v>132.07714000000004</v>
      </c>
      <c r="F13" s="484">
        <v>123.90742000000003</v>
      </c>
      <c r="G13" s="484">
        <v>122.99967333333335</v>
      </c>
      <c r="H13" s="484">
        <v>137.52362000000002</v>
      </c>
      <c r="I13" s="484">
        <v>145.69334000000001</v>
      </c>
      <c r="J13" s="484">
        <v>142.9701</v>
      </c>
      <c r="K13" s="484">
        <v>150.23207333333335</v>
      </c>
      <c r="L13" s="484">
        <v>138.88524000000001</v>
      </c>
      <c r="M13" s="484">
        <v>121.63805333333333</v>
      </c>
      <c r="N13" s="484">
        <v>111.65284000000003</v>
      </c>
      <c r="R13" s="414" t="s">
        <v>543</v>
      </c>
    </row>
    <row r="14" spans="2:18" x14ac:dyDescent="0.25">
      <c r="B14">
        <v>12</v>
      </c>
      <c r="C14" t="s">
        <v>132</v>
      </c>
      <c r="D14" s="484">
        <v>189.71905333333333</v>
      </c>
      <c r="E14" s="484">
        <v>220.12856666666664</v>
      </c>
      <c r="F14" s="484">
        <v>231.02152666666666</v>
      </c>
      <c r="G14" s="484">
        <v>223.30568000000005</v>
      </c>
      <c r="H14" s="484">
        <v>208.32785999999999</v>
      </c>
      <c r="I14" s="484">
        <v>245.99934666666667</v>
      </c>
      <c r="J14" s="484">
        <v>196.98102666666671</v>
      </c>
      <c r="K14" s="484">
        <v>277.31660666666676</v>
      </c>
      <c r="L14" s="484">
        <v>260.52329333333336</v>
      </c>
      <c r="M14" s="484">
        <v>211.05110000000002</v>
      </c>
      <c r="N14" s="484">
        <v>209.68948000000003</v>
      </c>
      <c r="R14" s="414" t="s">
        <v>542</v>
      </c>
    </row>
    <row r="15" spans="2:18" x14ac:dyDescent="0.25">
      <c r="R15" s="414" t="s">
        <v>541</v>
      </c>
    </row>
    <row r="16" spans="2:18" ht="30" x14ac:dyDescent="0.25">
      <c r="C16" s="417" t="s">
        <v>134</v>
      </c>
      <c r="D16" s="418">
        <f>SUM(D5:D15)</f>
        <v>1098.3734666666669</v>
      </c>
      <c r="E16" s="418">
        <f t="shared" ref="E16:N16" si="0">SUM(E5:E15)</f>
        <v>1251.3287800000003</v>
      </c>
      <c r="F16" s="418">
        <f t="shared" si="0"/>
        <v>1243.1590600000002</v>
      </c>
      <c r="G16" s="418">
        <f t="shared" si="0"/>
        <v>1240.8896933333335</v>
      </c>
      <c r="H16" s="418">
        <f t="shared" si="0"/>
        <v>1225.0041266666669</v>
      </c>
      <c r="I16" s="418">
        <f t="shared" si="0"/>
        <v>1363.4354933333334</v>
      </c>
      <c r="J16" s="418">
        <f t="shared" si="0"/>
        <v>1248.1516666666666</v>
      </c>
      <c r="K16" s="418">
        <f t="shared" si="0"/>
        <v>1408.822826666667</v>
      </c>
      <c r="L16" s="418">
        <f t="shared" si="0"/>
        <v>1375.2362000000001</v>
      </c>
      <c r="M16" s="418">
        <f t="shared" si="0"/>
        <v>1199.1333466666667</v>
      </c>
      <c r="N16" s="418">
        <f t="shared" si="0"/>
        <v>1165.5467200000001</v>
      </c>
      <c r="R16" s="414" t="s">
        <v>540</v>
      </c>
    </row>
    <row r="17" spans="3:18" x14ac:dyDescent="0.25">
      <c r="C17" s="412"/>
      <c r="D17" s="419"/>
      <c r="E17" s="419"/>
      <c r="F17" s="419"/>
      <c r="G17" s="419"/>
      <c r="H17" s="419"/>
      <c r="I17" s="419"/>
      <c r="J17" s="419"/>
      <c r="K17" s="419"/>
      <c r="L17" s="419"/>
      <c r="M17" s="419"/>
      <c r="N17" s="419"/>
      <c r="R17" s="414" t="s">
        <v>539</v>
      </c>
    </row>
    <row r="18" spans="3:18" x14ac:dyDescent="0.25">
      <c r="G18" s="407"/>
      <c r="R18" s="420" t="s">
        <v>538</v>
      </c>
    </row>
    <row r="19" spans="3:18" hidden="1" x14ac:dyDescent="0.25">
      <c r="R19" s="414" t="s">
        <v>537</v>
      </c>
    </row>
    <row r="20" spans="3:18" hidden="1" x14ac:dyDescent="0.25">
      <c r="D20">
        <f>48*52</f>
        <v>2496</v>
      </c>
      <c r="E20">
        <f>D20/12</f>
        <v>208</v>
      </c>
      <c r="R20" s="414" t="s">
        <v>536</v>
      </c>
    </row>
    <row r="21" spans="3:18" hidden="1" x14ac:dyDescent="0.25">
      <c r="R21" s="420" t="s">
        <v>535</v>
      </c>
    </row>
    <row r="22" spans="3:18" hidden="1" x14ac:dyDescent="0.25"/>
    <row r="23" spans="3:18" hidden="1" x14ac:dyDescent="0.25"/>
    <row r="24" spans="3:18" hidden="1" x14ac:dyDescent="0.25"/>
    <row r="25" spans="3:18" hidden="1" x14ac:dyDescent="0.25"/>
    <row r="26" spans="3:18" hidden="1" x14ac:dyDescent="0.25"/>
    <row r="27" spans="3:18" ht="15.75" hidden="1" x14ac:dyDescent="0.25">
      <c r="C27" s="421" t="s">
        <v>295</v>
      </c>
      <c r="D27" s="422"/>
      <c r="E27" s="423"/>
      <c r="F27" s="423"/>
      <c r="G27" s="424"/>
      <c r="H27" s="424"/>
    </row>
    <row r="28" spans="3:18" ht="18" hidden="1" x14ac:dyDescent="0.25">
      <c r="C28" s="421" t="s">
        <v>296</v>
      </c>
      <c r="D28" s="425"/>
      <c r="E28" s="426"/>
      <c r="F28" s="427"/>
      <c r="G28" s="428"/>
      <c r="H28" s="428"/>
    </row>
    <row r="29" spans="3:18" ht="18" hidden="1" x14ac:dyDescent="0.25">
      <c r="C29" s="429" t="s">
        <v>297</v>
      </c>
      <c r="D29" s="425"/>
      <c r="E29" s="426"/>
      <c r="F29" s="427"/>
      <c r="G29" s="428"/>
      <c r="H29" s="428"/>
    </row>
    <row r="30" spans="3:18" hidden="1" x14ac:dyDescent="0.25"/>
    <row r="31" spans="3:18" hidden="1" x14ac:dyDescent="0.25"/>
    <row r="32" spans="3:18" hidden="1" x14ac:dyDescent="0.25"/>
    <row r="33" spans="3:6" hidden="1" x14ac:dyDescent="0.25"/>
    <row r="34" spans="3:6" hidden="1" x14ac:dyDescent="0.25">
      <c r="C34" s="430"/>
    </row>
    <row r="35" spans="3:6" hidden="1" x14ac:dyDescent="0.25">
      <c r="C35" s="1"/>
    </row>
    <row r="36" spans="3:6" hidden="1" x14ac:dyDescent="0.25">
      <c r="C36" s="431"/>
    </row>
    <row r="37" spans="3:6" hidden="1" x14ac:dyDescent="0.25">
      <c r="C37" s="432"/>
    </row>
    <row r="38" spans="3:6" hidden="1" x14ac:dyDescent="0.25">
      <c r="C38" s="1"/>
    </row>
    <row r="39" spans="3:6" hidden="1" x14ac:dyDescent="0.25">
      <c r="C39" s="1"/>
    </row>
    <row r="40" spans="3:6" hidden="1" x14ac:dyDescent="0.25">
      <c r="C40" s="1"/>
    </row>
    <row r="41" spans="3:6" hidden="1" x14ac:dyDescent="0.25">
      <c r="C41" s="431"/>
    </row>
    <row r="42" spans="3:6" hidden="1" x14ac:dyDescent="0.25">
      <c r="C42" s="1"/>
    </row>
    <row r="43" spans="3:6" hidden="1" x14ac:dyDescent="0.25">
      <c r="C43" s="433"/>
    </row>
    <row r="44" spans="3:6" hidden="1" x14ac:dyDescent="0.25"/>
    <row r="45" spans="3:6" x14ac:dyDescent="0.25">
      <c r="C45" s="52" t="s">
        <v>299</v>
      </c>
      <c r="D45" s="52" t="s">
        <v>300</v>
      </c>
      <c r="E45" s="52" t="s">
        <v>348</v>
      </c>
      <c r="F45" s="52" t="s">
        <v>349</v>
      </c>
    </row>
    <row r="46" spans="3:6" x14ac:dyDescent="0.25">
      <c r="C46" t="s">
        <v>301</v>
      </c>
      <c r="D46" s="432">
        <v>0.720031545741325</v>
      </c>
      <c r="E46">
        <v>0.75</v>
      </c>
      <c r="F46">
        <v>0</v>
      </c>
    </row>
    <row r="47" spans="3:6" x14ac:dyDescent="0.25">
      <c r="C47" t="s">
        <v>302</v>
      </c>
      <c r="D47" s="432">
        <v>1.2121451104100947</v>
      </c>
      <c r="E47">
        <v>1</v>
      </c>
      <c r="F47">
        <v>0</v>
      </c>
    </row>
    <row r="48" spans="3:6" x14ac:dyDescent="0.25">
      <c r="C48" t="s">
        <v>303</v>
      </c>
      <c r="D48" s="432">
        <v>0.79495268138801256</v>
      </c>
      <c r="E48">
        <v>0.75</v>
      </c>
      <c r="F48">
        <v>1</v>
      </c>
    </row>
    <row r="49" spans="3:6" x14ac:dyDescent="0.25">
      <c r="C49" t="s">
        <v>304</v>
      </c>
      <c r="D49" s="432">
        <v>0.93848580441640383</v>
      </c>
      <c r="E49">
        <v>0.75</v>
      </c>
      <c r="F49">
        <v>1</v>
      </c>
    </row>
    <row r="50" spans="3:6" x14ac:dyDescent="0.25">
      <c r="C50" t="s">
        <v>305</v>
      </c>
      <c r="D50" s="432">
        <v>1.2823343848580442</v>
      </c>
      <c r="E50">
        <v>1</v>
      </c>
      <c r="F50">
        <v>1</v>
      </c>
    </row>
    <row r="51" spans="3:6" x14ac:dyDescent="0.25">
      <c r="C51" t="s">
        <v>306</v>
      </c>
      <c r="D51" s="432">
        <v>1.2965299684542593</v>
      </c>
      <c r="E51">
        <v>1</v>
      </c>
      <c r="F51">
        <v>1</v>
      </c>
    </row>
    <row r="52" spans="3:6" x14ac:dyDescent="0.25">
      <c r="C52" t="s">
        <v>307</v>
      </c>
      <c r="D52" s="432">
        <v>1.3359621451104104</v>
      </c>
      <c r="E52">
        <v>1</v>
      </c>
      <c r="F52">
        <v>1</v>
      </c>
    </row>
    <row r="53" spans="3:6" x14ac:dyDescent="0.25">
      <c r="C53" t="s">
        <v>308</v>
      </c>
      <c r="D53" s="432">
        <v>1.5002628811777077</v>
      </c>
      <c r="E53">
        <v>1</v>
      </c>
      <c r="F53">
        <v>0</v>
      </c>
    </row>
    <row r="54" spans="3:6" x14ac:dyDescent="0.25">
      <c r="C54" t="s">
        <v>309</v>
      </c>
      <c r="D54" s="432">
        <v>1.6451104100946372</v>
      </c>
      <c r="E54">
        <v>1</v>
      </c>
      <c r="F54">
        <v>1</v>
      </c>
    </row>
    <row r="57" spans="3:6" x14ac:dyDescent="0.25">
      <c r="C57" s="434" t="s">
        <v>333</v>
      </c>
      <c r="D57" s="52"/>
    </row>
    <row r="58" spans="3:6" ht="30" x14ac:dyDescent="0.25">
      <c r="C58" s="434" t="s">
        <v>334</v>
      </c>
      <c r="D58" s="435" t="s">
        <v>335</v>
      </c>
    </row>
    <row r="59" spans="3:6" x14ac:dyDescent="0.25">
      <c r="C59" s="436">
        <v>0.95</v>
      </c>
      <c r="D59" s="437">
        <v>400000</v>
      </c>
      <c r="E59" s="394"/>
    </row>
    <row r="60" spans="3:6" x14ac:dyDescent="0.25">
      <c r="C60" s="436">
        <v>0.9</v>
      </c>
      <c r="D60" s="437">
        <v>500000</v>
      </c>
      <c r="E60" s="394"/>
    </row>
    <row r="61" spans="3:6" x14ac:dyDescent="0.25">
      <c r="C61" s="436">
        <v>0.85</v>
      </c>
      <c r="D61" s="437">
        <v>600000</v>
      </c>
      <c r="E61" s="394"/>
    </row>
    <row r="62" spans="3:6" x14ac:dyDescent="0.25">
      <c r="C62" s="436">
        <v>0.8</v>
      </c>
      <c r="D62" s="437">
        <v>800000</v>
      </c>
      <c r="E62" s="394"/>
    </row>
    <row r="63" spans="3:6" x14ac:dyDescent="0.25">
      <c r="C63" s="436">
        <v>0.75</v>
      </c>
      <c r="D63" s="437">
        <v>800000</v>
      </c>
      <c r="E63" s="394"/>
    </row>
    <row r="64" spans="3:6" x14ac:dyDescent="0.25">
      <c r="C64" s="436">
        <v>0.7</v>
      </c>
      <c r="D64" s="437">
        <v>1000000</v>
      </c>
      <c r="E64" s="394"/>
    </row>
    <row r="65" spans="3:5" x14ac:dyDescent="0.25">
      <c r="C65" s="436">
        <v>0.65</v>
      </c>
      <c r="D65" s="437">
        <v>1000000</v>
      </c>
      <c r="E65" s="394"/>
    </row>
    <row r="66" spans="3:5" x14ac:dyDescent="0.25">
      <c r="C66" s="436">
        <v>0.6</v>
      </c>
      <c r="D66" s="437">
        <v>1500000</v>
      </c>
      <c r="E66" s="394"/>
    </row>
  </sheetData>
  <sheetProtection algorithmName="SHA-512" hashValue="teoBD/+fZ0dg5Hn+/OHo4RzC7vA4IIHDyDHaXP4pKnBozPVeNizD8ovakL2sjNbWg5vMyzbJjJIZxeVa7Vx/YQ==" saltValue="AQ42lwSq3iF9iZ+Pkr6MzA==" spinCount="100000" sheet="1" objects="1" scenarios="1"/>
  <sortState xmlns:xlrd2="http://schemas.microsoft.com/office/spreadsheetml/2017/richdata2" ref="C5:M14">
    <sortCondition ref="C5"/>
  </sortState>
  <customSheetViews>
    <customSheetView guid="{0C762E80-EE8B-4405-B1DD-B3A926628697}" state="hidden" topLeftCell="A10">
      <selection activeCell="C29" sqref="C29"/>
      <pageMargins left="0.7" right="0.7" top="0.75" bottom="0.75" header="0.3" footer="0.3"/>
    </customSheetView>
  </customSheetViews>
  <pageMargins left="0.7" right="0.7" top="0.75" bottom="0.75" header="0.3" footer="0.3"/>
  <pageSetup paperSize="9" scale="36" orientation="portrait" verticalDpi="0" r:id="rId1"/>
  <headerFooter>
    <oddFooter>&amp;C_x000D_&amp;1#&amp;"Calibri"&amp;10&amp;K000000 HIGHLY CONFIDENTIAL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2:G38"/>
  <sheetViews>
    <sheetView showGridLines="0" zoomScale="80" zoomScaleNormal="80" workbookViewId="0">
      <selection activeCell="C4" sqref="C4:G4"/>
    </sheetView>
  </sheetViews>
  <sheetFormatPr defaultRowHeight="15" x14ac:dyDescent="0.25"/>
  <cols>
    <col min="1" max="1" width="11.28515625" bestFit="1" customWidth="1"/>
    <col min="2" max="2" width="25.7109375" bestFit="1" customWidth="1"/>
    <col min="3" max="3" width="16" customWidth="1"/>
    <col min="4" max="4" width="15.5703125" customWidth="1"/>
    <col min="5" max="5" width="16.140625" customWidth="1"/>
    <col min="6" max="6" width="14.5703125" customWidth="1"/>
    <col min="7" max="7" width="8" bestFit="1" customWidth="1"/>
  </cols>
  <sheetData>
    <row r="2" spans="1:7" x14ac:dyDescent="0.25">
      <c r="B2" t="s">
        <v>606</v>
      </c>
    </row>
    <row r="3" spans="1:7" x14ac:dyDescent="0.25">
      <c r="A3" t="s">
        <v>273</v>
      </c>
      <c r="B3" s="395" t="s">
        <v>123</v>
      </c>
      <c r="C3" s="395"/>
      <c r="D3" s="395"/>
      <c r="E3" s="395"/>
      <c r="F3" s="395" t="s">
        <v>271</v>
      </c>
    </row>
    <row r="4" spans="1:7" x14ac:dyDescent="0.25">
      <c r="B4" s="395" t="s">
        <v>119</v>
      </c>
      <c r="C4" s="396"/>
      <c r="D4" s="396"/>
      <c r="E4" s="396"/>
      <c r="F4" s="396">
        <v>2314.7399999999998</v>
      </c>
    </row>
    <row r="5" spans="1:7" x14ac:dyDescent="0.25">
      <c r="B5" s="395" t="s">
        <v>115</v>
      </c>
      <c r="C5" s="396"/>
      <c r="D5" s="396"/>
      <c r="E5" s="396"/>
      <c r="F5" s="396">
        <v>2298.98</v>
      </c>
    </row>
    <row r="6" spans="1:7" x14ac:dyDescent="0.25">
      <c r="B6" s="395" t="s">
        <v>116</v>
      </c>
      <c r="C6" s="397"/>
      <c r="D6" s="397"/>
      <c r="E6" s="397"/>
      <c r="F6" s="397">
        <v>2254.79</v>
      </c>
    </row>
    <row r="7" spans="1:7" x14ac:dyDescent="0.25">
      <c r="B7" s="395" t="s">
        <v>114</v>
      </c>
      <c r="C7" s="396"/>
      <c r="D7" s="396"/>
      <c r="E7" s="396"/>
      <c r="F7" s="396">
        <v>2246.69</v>
      </c>
    </row>
    <row r="8" spans="1:7" x14ac:dyDescent="0.25">
      <c r="B8" s="395" t="s">
        <v>120</v>
      </c>
      <c r="C8" s="396"/>
      <c r="D8" s="396"/>
      <c r="E8" s="396"/>
      <c r="F8" s="396">
        <v>2239.2600000000002</v>
      </c>
    </row>
    <row r="9" spans="1:7" x14ac:dyDescent="0.25">
      <c r="B9" s="395" t="s">
        <v>294</v>
      </c>
      <c r="C9" s="396"/>
      <c r="D9" s="396"/>
      <c r="E9" s="396"/>
      <c r="F9" s="396">
        <v>2183.58</v>
      </c>
    </row>
    <row r="10" spans="1:7" x14ac:dyDescent="0.25">
      <c r="B10" s="395" t="s">
        <v>118</v>
      </c>
      <c r="C10" s="396"/>
      <c r="D10" s="396"/>
      <c r="E10" s="396"/>
      <c r="F10" s="396">
        <v>2163</v>
      </c>
    </row>
    <row r="11" spans="1:7" x14ac:dyDescent="0.25">
      <c r="B11" s="395" t="s">
        <v>117</v>
      </c>
      <c r="C11" s="396"/>
      <c r="D11" s="396"/>
      <c r="E11" s="396"/>
      <c r="F11" s="396">
        <v>2144.33</v>
      </c>
    </row>
    <row r="12" spans="1:7" x14ac:dyDescent="0.25">
      <c r="B12" s="395" t="s">
        <v>272</v>
      </c>
      <c r="C12" s="396"/>
      <c r="D12" s="396"/>
      <c r="E12" s="396"/>
      <c r="F12" s="396">
        <v>1894.41</v>
      </c>
    </row>
    <row r="13" spans="1:7" x14ac:dyDescent="0.25">
      <c r="B13" s="395" t="s">
        <v>121</v>
      </c>
      <c r="C13" s="396"/>
      <c r="D13" s="396"/>
      <c r="E13" s="396"/>
      <c r="F13" s="396">
        <v>1997.55</v>
      </c>
    </row>
    <row r="14" spans="1:7" x14ac:dyDescent="0.25">
      <c r="B14" s="395" t="s">
        <v>122</v>
      </c>
      <c r="F14" s="396">
        <v>1421</v>
      </c>
    </row>
    <row r="15" spans="1:7" x14ac:dyDescent="0.25">
      <c r="F15" s="398"/>
    </row>
    <row r="16" spans="1:7" x14ac:dyDescent="0.25">
      <c r="A16" t="s">
        <v>174</v>
      </c>
      <c r="B16" s="399" t="s">
        <v>123</v>
      </c>
      <c r="C16" s="399"/>
      <c r="D16" s="399"/>
      <c r="E16" s="399"/>
      <c r="F16" s="399" t="s">
        <v>271</v>
      </c>
      <c r="G16" s="393">
        <v>1</v>
      </c>
    </row>
    <row r="17" spans="2:7" x14ac:dyDescent="0.25">
      <c r="B17" s="399" t="s">
        <v>119</v>
      </c>
      <c r="C17" s="400"/>
      <c r="D17" s="400"/>
      <c r="E17" s="400"/>
      <c r="F17" s="400">
        <f>F4/12</f>
        <v>192.89499999999998</v>
      </c>
      <c r="G17" s="393">
        <v>2</v>
      </c>
    </row>
    <row r="18" spans="2:7" x14ac:dyDescent="0.25">
      <c r="B18" s="399" t="s">
        <v>115</v>
      </c>
      <c r="C18" s="400"/>
      <c r="D18" s="400"/>
      <c r="E18" s="400"/>
      <c r="F18" s="400">
        <f t="shared" ref="F18:F26" si="0">F5/12</f>
        <v>191.58166666666668</v>
      </c>
      <c r="G18" s="393">
        <v>3</v>
      </c>
    </row>
    <row r="19" spans="2:7" x14ac:dyDescent="0.25">
      <c r="B19" s="399" t="s">
        <v>116</v>
      </c>
      <c r="C19" s="400"/>
      <c r="D19" s="400"/>
      <c r="E19" s="400"/>
      <c r="F19" s="400">
        <f t="shared" si="0"/>
        <v>187.89916666666667</v>
      </c>
      <c r="G19" s="393">
        <v>4</v>
      </c>
    </row>
    <row r="20" spans="2:7" x14ac:dyDescent="0.25">
      <c r="B20" s="399" t="s">
        <v>114</v>
      </c>
      <c r="C20" s="400"/>
      <c r="D20" s="400"/>
      <c r="E20" s="400"/>
      <c r="F20" s="400">
        <f t="shared" si="0"/>
        <v>187.22416666666666</v>
      </c>
      <c r="G20" s="393">
        <v>5</v>
      </c>
    </row>
    <row r="21" spans="2:7" x14ac:dyDescent="0.25">
      <c r="B21" s="399" t="s">
        <v>120</v>
      </c>
      <c r="C21" s="400"/>
      <c r="D21" s="400"/>
      <c r="E21" s="400"/>
      <c r="F21" s="400">
        <f t="shared" si="0"/>
        <v>186.60500000000002</v>
      </c>
      <c r="G21" s="393">
        <v>6</v>
      </c>
    </row>
    <row r="22" spans="2:7" x14ac:dyDescent="0.25">
      <c r="B22" s="399" t="s">
        <v>294</v>
      </c>
      <c r="C22" s="400"/>
      <c r="D22" s="400"/>
      <c r="E22" s="400"/>
      <c r="F22" s="400">
        <f t="shared" si="0"/>
        <v>181.965</v>
      </c>
      <c r="G22" s="393">
        <v>7</v>
      </c>
    </row>
    <row r="23" spans="2:7" x14ac:dyDescent="0.25">
      <c r="B23" s="399" t="s">
        <v>118</v>
      </c>
      <c r="C23" s="400"/>
      <c r="D23" s="400"/>
      <c r="E23" s="400"/>
      <c r="F23" s="400">
        <f t="shared" si="0"/>
        <v>180.25</v>
      </c>
      <c r="G23" s="393">
        <v>8</v>
      </c>
    </row>
    <row r="24" spans="2:7" x14ac:dyDescent="0.25">
      <c r="B24" s="399" t="s">
        <v>117</v>
      </c>
      <c r="C24" s="400"/>
      <c r="D24" s="400"/>
      <c r="E24" s="400"/>
      <c r="F24" s="400">
        <f t="shared" si="0"/>
        <v>178.69416666666666</v>
      </c>
      <c r="G24" s="393">
        <v>9</v>
      </c>
    </row>
    <row r="25" spans="2:7" x14ac:dyDescent="0.25">
      <c r="B25" s="399" t="s">
        <v>272</v>
      </c>
      <c r="C25" s="400"/>
      <c r="D25" s="400"/>
      <c r="E25" s="400"/>
      <c r="F25" s="400">
        <f t="shared" si="0"/>
        <v>157.86750000000001</v>
      </c>
      <c r="G25" s="393">
        <v>10</v>
      </c>
    </row>
    <row r="26" spans="2:7" x14ac:dyDescent="0.25">
      <c r="B26" s="399" t="s">
        <v>121</v>
      </c>
      <c r="C26" s="400"/>
      <c r="D26" s="400"/>
      <c r="E26" s="400"/>
      <c r="F26" s="400">
        <f t="shared" si="0"/>
        <v>166.46250000000001</v>
      </c>
      <c r="G26" s="393">
        <v>11</v>
      </c>
    </row>
    <row r="27" spans="2:7" x14ac:dyDescent="0.25">
      <c r="B27" s="399" t="s">
        <v>122</v>
      </c>
      <c r="C27" s="400"/>
      <c r="D27" s="400"/>
      <c r="E27" s="400"/>
      <c r="F27" s="400">
        <f>F14/12</f>
        <v>118.41666666666667</v>
      </c>
      <c r="G27" s="393">
        <v>12</v>
      </c>
    </row>
    <row r="29" spans="2:7" x14ac:dyDescent="0.25">
      <c r="C29" s="65" t="s">
        <v>564</v>
      </c>
      <c r="D29" s="65" t="s">
        <v>565</v>
      </c>
      <c r="E29" s="65" t="s">
        <v>566</v>
      </c>
      <c r="F29" s="65" t="s">
        <v>567</v>
      </c>
    </row>
    <row r="30" spans="2:7" s="402" customFormat="1" ht="48.75" customHeight="1" x14ac:dyDescent="0.25">
      <c r="B30" s="401" t="s">
        <v>275</v>
      </c>
      <c r="C30" s="201" t="str">
        <f>'Affordability Calculator'!C16</f>
        <v/>
      </c>
      <c r="D30" s="201" t="str">
        <f>'Affordability Calculator'!G16</f>
        <v/>
      </c>
      <c r="E30" s="201" t="str">
        <f>'Affordability Calculator'!K16</f>
        <v/>
      </c>
      <c r="F30" s="201" t="str">
        <f>'Affordability Calculator'!O16</f>
        <v/>
      </c>
    </row>
    <row r="31" spans="2:7" x14ac:dyDescent="0.25">
      <c r="B31" s="395"/>
      <c r="C31" s="403" t="e">
        <f>VLOOKUP(C$30,$B$16:$G$27,6,FALSE)</f>
        <v>#N/A</v>
      </c>
      <c r="D31" s="403" t="e">
        <f>VLOOKUP(D$30,$B$16:$G$27,6,FALSE)</f>
        <v>#N/A</v>
      </c>
      <c r="E31" s="403" t="e">
        <f>VLOOKUP(E$30,$B$16:$G$27,6,FALSE)</f>
        <v>#N/A</v>
      </c>
      <c r="F31" s="403" t="e">
        <f>VLOOKUP(F$30,$B$16:$G$27,6,FALSE)</f>
        <v>#N/A</v>
      </c>
    </row>
    <row r="32" spans="2:7" x14ac:dyDescent="0.25">
      <c r="B32" s="395" t="s">
        <v>276</v>
      </c>
      <c r="C32" s="403" t="s">
        <v>271</v>
      </c>
      <c r="D32" s="403" t="s">
        <v>271</v>
      </c>
      <c r="E32" s="403" t="s">
        <v>271</v>
      </c>
      <c r="F32" s="403" t="s">
        <v>271</v>
      </c>
    </row>
    <row r="33" spans="2:6" x14ac:dyDescent="0.25">
      <c r="C33" s="404" t="e">
        <f>HLOOKUP(C$32, $C$16:$F$27, C$31, FALSE)</f>
        <v>#REF!</v>
      </c>
      <c r="D33" s="404" t="e">
        <f>HLOOKUP(D$32, $C$16:$F$27, D$31, FALSE)</f>
        <v>#REF!</v>
      </c>
      <c r="E33" s="404" t="e">
        <f>HLOOKUP(E$32, $C$16:$F$27, E$31, FALSE)</f>
        <v>#REF!</v>
      </c>
      <c r="F33" s="404" t="e">
        <f>HLOOKUP(F$32, $C$16:$F$27, F$31, FALSE)</f>
        <v>#REF!</v>
      </c>
    </row>
    <row r="34" spans="2:6" x14ac:dyDescent="0.25">
      <c r="B34" s="52" t="s">
        <v>379</v>
      </c>
      <c r="C34" s="405" t="e" cm="1">
        <f t="array" ref="C34">IF(OR('Affordability Calculator'!$C$10:$G$10="remortgage",'Affordability Calculator'!$C$10:$G$10="additional borrowing"), 'Affordability Calculator'!C$61, 'Council tax'!C$33)</f>
        <v>#REF!</v>
      </c>
      <c r="D34" s="405" t="e" cm="1">
        <f t="array" ref="D34">IF(OR('Affordability Calculator'!$C$10:$G$10="remortgage",'Affordability Calculator'!$C$10:$G$10="additional borrowing"), 'Affordability Calculator'!G$61, 'Council tax'!D$33)</f>
        <v>#REF!</v>
      </c>
      <c r="E34" s="405" t="e" cm="1">
        <f t="array" ref="E34">IF(OR('Affordability Calculator'!$C$10:$G$10="remortgage",'Affordability Calculator'!$C$10:$G$10="additional borrowing"), 'Affordability Calculator'!K$61, 'Council tax'!E$33)</f>
        <v>#REF!</v>
      </c>
      <c r="F34" s="405" t="e" cm="1">
        <f t="array" ref="F34">IF(OR('Affordability Calculator'!$C$10:$G$10="remortgage",'Affordability Calculator'!$C$10:$G$10="additional borrowing"), 'Affordability Calculator'!O$61, 'Council tax'!F$33)</f>
        <v>#REF!</v>
      </c>
    </row>
    <row r="36" spans="2:6" x14ac:dyDescent="0.25">
      <c r="C36" s="406" t="e">
        <f>MAX(C33,C34)</f>
        <v>#REF!</v>
      </c>
      <c r="D36" s="406" t="e">
        <f t="shared" ref="D36:F36" si="1">MAX(D33,D34)</f>
        <v>#REF!</v>
      </c>
      <c r="E36" s="406" t="e">
        <f t="shared" si="1"/>
        <v>#REF!</v>
      </c>
      <c r="F36" s="406" t="e">
        <f t="shared" si="1"/>
        <v>#REF!</v>
      </c>
    </row>
    <row r="38" spans="2:6" x14ac:dyDescent="0.25">
      <c r="C38" s="407"/>
    </row>
  </sheetData>
  <sheetProtection algorithmName="SHA-512" hashValue="nSaTEm872r0Mc5dpQ942CzbbKGXCcclXdodbQ5vtcnLQjM15Rm7VVzi2j7C1X0f5ZoIHLrF4FKjGgWZCJKixsw==" saltValue="lmCFrNNmuylWGAW6Uh3lkQ==" spinCount="100000" sheet="1" objects="1" scenarios="1"/>
  <autoFilter ref="B16:G26" xr:uid="{00000000-0009-0000-0000-000004000000}">
    <sortState xmlns:xlrd2="http://schemas.microsoft.com/office/spreadsheetml/2017/richdata2" ref="B17:G26">
      <sortCondition ref="B16"/>
    </sortState>
  </autoFilter>
  <customSheetViews>
    <customSheetView guid="{0C762E80-EE8B-4405-B1DD-B3A926628697}" showAutoFilter="1" state="hidden">
      <selection activeCell="D31" sqref="D31"/>
      <pageMargins left="0.7" right="0.7" top="0.75" bottom="0.75" header="0.3" footer="0.3"/>
      <autoFilter ref="B1:L1" xr:uid="{2F9C71AB-1B3D-46E2-B094-3145966D3F69}"/>
    </customSheetView>
  </customSheetViews>
  <pageMargins left="0.7" right="0.7" top="0.75" bottom="0.75" header="0.3" footer="0.3"/>
  <pageSetup paperSize="9" orientation="portrait" verticalDpi="0" r:id="rId1"/>
  <headerFooter>
    <oddFooter>&amp;C_x000D_&amp;1#&amp;"Calibri"&amp;10&amp;K000000 HIGHLY CONFIDENTIAL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2:I188"/>
  <sheetViews>
    <sheetView showGridLines="0" workbookViewId="0">
      <selection activeCell="C4" sqref="C4:G4"/>
    </sheetView>
  </sheetViews>
  <sheetFormatPr defaultRowHeight="15" x14ac:dyDescent="0.25"/>
  <cols>
    <col min="2" max="2" width="14.28515625" customWidth="1"/>
    <col min="7" max="8" width="22.5703125" bestFit="1" customWidth="1"/>
    <col min="9" max="9" width="5.42578125" customWidth="1"/>
    <col min="11" max="11" width="22.5703125" bestFit="1" customWidth="1"/>
  </cols>
  <sheetData>
    <row r="2" spans="1:9" x14ac:dyDescent="0.25">
      <c r="A2" t="s">
        <v>266</v>
      </c>
      <c r="B2" t="s">
        <v>267</v>
      </c>
      <c r="C2" t="s">
        <v>264</v>
      </c>
    </row>
    <row r="3" spans="1:9" x14ac:dyDescent="0.25">
      <c r="A3" t="s">
        <v>0</v>
      </c>
      <c r="B3" t="s">
        <v>122</v>
      </c>
    </row>
    <row r="4" spans="1:9" x14ac:dyDescent="0.25">
      <c r="A4" t="s">
        <v>1</v>
      </c>
      <c r="B4" t="s">
        <v>114</v>
      </c>
    </row>
    <row r="5" spans="1:9" x14ac:dyDescent="0.25">
      <c r="A5" t="s">
        <v>187</v>
      </c>
      <c r="B5" t="s">
        <v>117</v>
      </c>
    </row>
    <row r="6" spans="1:9" x14ac:dyDescent="0.25">
      <c r="A6" t="s">
        <v>187</v>
      </c>
      <c r="B6" t="s">
        <v>117</v>
      </c>
    </row>
    <row r="7" spans="1:9" x14ac:dyDescent="0.25">
      <c r="A7" t="s">
        <v>188</v>
      </c>
      <c r="B7" t="s">
        <v>117</v>
      </c>
    </row>
    <row r="8" spans="1:9" x14ac:dyDescent="0.25">
      <c r="A8" t="s">
        <v>189</v>
      </c>
      <c r="B8" t="s">
        <v>117</v>
      </c>
    </row>
    <row r="9" spans="1:9" x14ac:dyDescent="0.25">
      <c r="A9" t="s">
        <v>190</v>
      </c>
      <c r="B9" t="s">
        <v>117</v>
      </c>
      <c r="H9" s="34" t="s">
        <v>268</v>
      </c>
      <c r="I9" s="37"/>
    </row>
    <row r="10" spans="1:9" x14ac:dyDescent="0.25">
      <c r="A10" t="s">
        <v>191</v>
      </c>
      <c r="B10" t="s">
        <v>117</v>
      </c>
      <c r="H10" s="34" t="s">
        <v>267</v>
      </c>
      <c r="I10" s="37" t="s">
        <v>269</v>
      </c>
    </row>
    <row r="11" spans="1:9" x14ac:dyDescent="0.25">
      <c r="A11" t="s">
        <v>192</v>
      </c>
      <c r="B11" t="s">
        <v>117</v>
      </c>
      <c r="H11" s="41" t="s">
        <v>116</v>
      </c>
      <c r="I11" s="37">
        <v>5</v>
      </c>
    </row>
    <row r="12" spans="1:9" x14ac:dyDescent="0.25">
      <c r="A12" t="s">
        <v>193</v>
      </c>
      <c r="B12" t="s">
        <v>117</v>
      </c>
      <c r="H12" s="35" t="s">
        <v>113</v>
      </c>
      <c r="I12" s="38">
        <v>44</v>
      </c>
    </row>
    <row r="13" spans="1:9" x14ac:dyDescent="0.25">
      <c r="A13" t="s">
        <v>194</v>
      </c>
      <c r="B13" t="s">
        <v>117</v>
      </c>
      <c r="H13" s="35" t="s">
        <v>119</v>
      </c>
      <c r="I13" s="38">
        <v>5</v>
      </c>
    </row>
    <row r="14" spans="1:9" x14ac:dyDescent="0.25">
      <c r="A14" t="s">
        <v>195</v>
      </c>
      <c r="B14" t="s">
        <v>117</v>
      </c>
      <c r="H14" s="35" t="s">
        <v>120</v>
      </c>
      <c r="I14" s="38">
        <v>31</v>
      </c>
    </row>
    <row r="15" spans="1:9" x14ac:dyDescent="0.25">
      <c r="A15" t="s">
        <v>2</v>
      </c>
      <c r="B15" t="s">
        <v>115</v>
      </c>
      <c r="H15" s="35" t="s">
        <v>122</v>
      </c>
      <c r="I15" s="38">
        <v>24</v>
      </c>
    </row>
    <row r="16" spans="1:9" x14ac:dyDescent="0.25">
      <c r="A16" t="s">
        <v>3</v>
      </c>
      <c r="B16" t="s">
        <v>120</v>
      </c>
      <c r="H16" s="35" t="s">
        <v>114</v>
      </c>
      <c r="I16" s="38">
        <v>16</v>
      </c>
    </row>
    <row r="17" spans="1:9" x14ac:dyDescent="0.25">
      <c r="A17" t="s">
        <v>4</v>
      </c>
      <c r="B17" t="s">
        <v>118</v>
      </c>
      <c r="H17" s="35" t="s">
        <v>115</v>
      </c>
      <c r="I17" s="38">
        <v>12</v>
      </c>
    </row>
    <row r="18" spans="1:9" x14ac:dyDescent="0.25">
      <c r="A18" t="s">
        <v>5</v>
      </c>
      <c r="B18" t="s">
        <v>115</v>
      </c>
      <c r="H18" s="35" t="s">
        <v>121</v>
      </c>
      <c r="I18" s="38">
        <v>5</v>
      </c>
    </row>
    <row r="19" spans="1:9" x14ac:dyDescent="0.25">
      <c r="A19" t="s">
        <v>6</v>
      </c>
      <c r="B19" t="s">
        <v>120</v>
      </c>
      <c r="H19" s="35" t="s">
        <v>117</v>
      </c>
      <c r="I19" s="38">
        <v>19</v>
      </c>
    </row>
    <row r="20" spans="1:9" x14ac:dyDescent="0.25">
      <c r="A20" t="s">
        <v>7</v>
      </c>
      <c r="B20" t="s">
        <v>114</v>
      </c>
      <c r="H20" s="35" t="s">
        <v>118</v>
      </c>
      <c r="I20" s="38">
        <v>18</v>
      </c>
    </row>
    <row r="21" spans="1:9" x14ac:dyDescent="0.25">
      <c r="A21" t="s">
        <v>8</v>
      </c>
      <c r="B21" t="s">
        <v>113</v>
      </c>
      <c r="H21" s="35" t="s">
        <v>125</v>
      </c>
      <c r="I21" s="38">
        <v>7</v>
      </c>
    </row>
    <row r="22" spans="1:9" x14ac:dyDescent="0.25">
      <c r="A22" t="s">
        <v>9</v>
      </c>
      <c r="B22" t="s">
        <v>115</v>
      </c>
      <c r="H22" s="36" t="s">
        <v>265</v>
      </c>
      <c r="I22" s="39">
        <v>186</v>
      </c>
    </row>
    <row r="23" spans="1:9" x14ac:dyDescent="0.25">
      <c r="A23" t="s">
        <v>10</v>
      </c>
      <c r="B23" t="s">
        <v>120</v>
      </c>
    </row>
    <row r="24" spans="1:9" x14ac:dyDescent="0.25">
      <c r="A24" t="s">
        <v>11</v>
      </c>
      <c r="B24" t="s">
        <v>294</v>
      </c>
    </row>
    <row r="25" spans="1:9" x14ac:dyDescent="0.25">
      <c r="A25" t="s">
        <v>12</v>
      </c>
      <c r="B25" t="s">
        <v>121</v>
      </c>
    </row>
    <row r="26" spans="1:9" x14ac:dyDescent="0.25">
      <c r="A26" t="s">
        <v>13</v>
      </c>
      <c r="B26" t="s">
        <v>120</v>
      </c>
    </row>
    <row r="27" spans="1:9" x14ac:dyDescent="0.25">
      <c r="A27" t="s">
        <v>14</v>
      </c>
      <c r="B27" t="s">
        <v>294</v>
      </c>
    </row>
    <row r="28" spans="1:9" x14ac:dyDescent="0.25">
      <c r="A28" t="s">
        <v>15</v>
      </c>
      <c r="B28" t="s">
        <v>294</v>
      </c>
    </row>
    <row r="29" spans="1:9" x14ac:dyDescent="0.25">
      <c r="A29" t="s">
        <v>16</v>
      </c>
      <c r="B29" t="s">
        <v>113</v>
      </c>
    </row>
    <row r="30" spans="1:9" x14ac:dyDescent="0.25">
      <c r="A30" t="s">
        <v>17</v>
      </c>
      <c r="B30" t="s">
        <v>114</v>
      </c>
    </row>
    <row r="31" spans="1:9" x14ac:dyDescent="0.25">
      <c r="A31" t="s">
        <v>18</v>
      </c>
      <c r="B31" t="s">
        <v>117</v>
      </c>
    </row>
    <row r="32" spans="1:9" x14ac:dyDescent="0.25">
      <c r="A32" t="s">
        <v>19</v>
      </c>
      <c r="B32" t="s">
        <v>120</v>
      </c>
    </row>
    <row r="33" spans="1:2" x14ac:dyDescent="0.25">
      <c r="A33" t="s">
        <v>20</v>
      </c>
      <c r="B33" t="s">
        <v>114</v>
      </c>
    </row>
    <row r="34" spans="1:2" x14ac:dyDescent="0.25">
      <c r="A34" t="s">
        <v>21</v>
      </c>
      <c r="B34" t="s">
        <v>122</v>
      </c>
    </row>
    <row r="35" spans="1:2" x14ac:dyDescent="0.25">
      <c r="A35" t="s">
        <v>22</v>
      </c>
      <c r="B35" t="s">
        <v>116</v>
      </c>
    </row>
    <row r="36" spans="1:2" x14ac:dyDescent="0.25">
      <c r="A36" t="s">
        <v>23</v>
      </c>
      <c r="B36" t="s">
        <v>122</v>
      </c>
    </row>
    <row r="37" spans="1:2" x14ac:dyDescent="0.25">
      <c r="A37" t="s">
        <v>24</v>
      </c>
      <c r="B37" t="s">
        <v>119</v>
      </c>
    </row>
    <row r="38" spans="1:2" x14ac:dyDescent="0.25">
      <c r="A38" t="s">
        <v>25</v>
      </c>
      <c r="B38" t="s">
        <v>119</v>
      </c>
    </row>
    <row r="39" spans="1:2" x14ac:dyDescent="0.25">
      <c r="A39" t="s">
        <v>26</v>
      </c>
      <c r="B39" t="s">
        <v>118</v>
      </c>
    </row>
    <row r="40" spans="1:2" x14ac:dyDescent="0.25">
      <c r="A40" t="s">
        <v>27</v>
      </c>
      <c r="B40" t="s">
        <v>115</v>
      </c>
    </row>
    <row r="41" spans="1:2" x14ac:dyDescent="0.25">
      <c r="A41" t="s">
        <v>28</v>
      </c>
      <c r="B41" t="s">
        <v>117</v>
      </c>
    </row>
    <row r="42" spans="1:2" x14ac:dyDescent="0.25">
      <c r="A42" t="s">
        <v>196</v>
      </c>
      <c r="B42" t="s">
        <v>113</v>
      </c>
    </row>
    <row r="43" spans="1:2" x14ac:dyDescent="0.25">
      <c r="A43" t="s">
        <v>197</v>
      </c>
      <c r="B43" t="s">
        <v>113</v>
      </c>
    </row>
    <row r="44" spans="1:2" x14ac:dyDescent="0.25">
      <c r="A44" t="s">
        <v>198</v>
      </c>
      <c r="B44" t="s">
        <v>113</v>
      </c>
    </row>
    <row r="45" spans="1:2" x14ac:dyDescent="0.25">
      <c r="A45" t="s">
        <v>199</v>
      </c>
      <c r="B45" t="s">
        <v>113</v>
      </c>
    </row>
    <row r="46" spans="1:2" x14ac:dyDescent="0.25">
      <c r="A46" t="s">
        <v>200</v>
      </c>
      <c r="B46" t="s">
        <v>113</v>
      </c>
    </row>
    <row r="47" spans="1:2" x14ac:dyDescent="0.25">
      <c r="A47" t="s">
        <v>201</v>
      </c>
      <c r="B47" t="s">
        <v>113</v>
      </c>
    </row>
    <row r="48" spans="1:2" x14ac:dyDescent="0.25">
      <c r="A48" t="s">
        <v>202</v>
      </c>
      <c r="B48" t="s">
        <v>113</v>
      </c>
    </row>
    <row r="49" spans="1:2" x14ac:dyDescent="0.25">
      <c r="A49" t="s">
        <v>203</v>
      </c>
      <c r="B49" t="s">
        <v>113</v>
      </c>
    </row>
    <row r="50" spans="1:2" x14ac:dyDescent="0.25">
      <c r="A50" t="s">
        <v>204</v>
      </c>
      <c r="B50" t="s">
        <v>113</v>
      </c>
    </row>
    <row r="51" spans="1:2" x14ac:dyDescent="0.25">
      <c r="A51" t="s">
        <v>29</v>
      </c>
      <c r="B51" t="s">
        <v>113</v>
      </c>
    </row>
    <row r="52" spans="1:2" x14ac:dyDescent="0.25">
      <c r="A52" t="s">
        <v>30</v>
      </c>
      <c r="B52" t="s">
        <v>122</v>
      </c>
    </row>
    <row r="53" spans="1:2" x14ac:dyDescent="0.25">
      <c r="A53" t="s">
        <v>31</v>
      </c>
      <c r="B53" t="s">
        <v>113</v>
      </c>
    </row>
    <row r="54" spans="1:2" x14ac:dyDescent="0.25">
      <c r="A54" t="s">
        <v>32</v>
      </c>
      <c r="B54" t="s">
        <v>115</v>
      </c>
    </row>
    <row r="55" spans="1:2" x14ac:dyDescent="0.25">
      <c r="A55" t="s">
        <v>33</v>
      </c>
      <c r="B55" t="s">
        <v>122</v>
      </c>
    </row>
    <row r="56" spans="1:2" x14ac:dyDescent="0.25">
      <c r="A56" t="s">
        <v>34</v>
      </c>
      <c r="B56" t="s">
        <v>120</v>
      </c>
    </row>
    <row r="57" spans="1:2" x14ac:dyDescent="0.25">
      <c r="A57" t="s">
        <v>205</v>
      </c>
      <c r="B57" t="s">
        <v>122</v>
      </c>
    </row>
    <row r="58" spans="1:2" x14ac:dyDescent="0.25">
      <c r="A58" t="s">
        <v>206</v>
      </c>
      <c r="B58" t="s">
        <v>122</v>
      </c>
    </row>
    <row r="59" spans="1:2" x14ac:dyDescent="0.25">
      <c r="A59" t="s">
        <v>207</v>
      </c>
      <c r="B59" t="s">
        <v>122</v>
      </c>
    </row>
    <row r="60" spans="1:2" x14ac:dyDescent="0.25">
      <c r="A60" t="s">
        <v>208</v>
      </c>
      <c r="B60" t="s">
        <v>122</v>
      </c>
    </row>
    <row r="61" spans="1:2" x14ac:dyDescent="0.25">
      <c r="A61" t="s">
        <v>209</v>
      </c>
      <c r="B61" t="s">
        <v>122</v>
      </c>
    </row>
    <row r="62" spans="1:2" x14ac:dyDescent="0.25">
      <c r="A62" t="s">
        <v>210</v>
      </c>
      <c r="B62" t="s">
        <v>122</v>
      </c>
    </row>
    <row r="63" spans="1:2" x14ac:dyDescent="0.25">
      <c r="A63" t="s">
        <v>211</v>
      </c>
      <c r="B63" t="s">
        <v>122</v>
      </c>
    </row>
    <row r="64" spans="1:2" x14ac:dyDescent="0.25">
      <c r="A64" t="s">
        <v>212</v>
      </c>
      <c r="B64" t="s">
        <v>122</v>
      </c>
    </row>
    <row r="65" spans="1:8" x14ac:dyDescent="0.25">
      <c r="A65" t="s">
        <v>213</v>
      </c>
      <c r="B65" t="s">
        <v>122</v>
      </c>
    </row>
    <row r="66" spans="1:8" x14ac:dyDescent="0.25">
      <c r="A66" t="s">
        <v>35</v>
      </c>
      <c r="B66" t="s">
        <v>115</v>
      </c>
    </row>
    <row r="67" spans="1:8" x14ac:dyDescent="0.25">
      <c r="A67" t="s">
        <v>36</v>
      </c>
      <c r="B67" t="s">
        <v>113</v>
      </c>
    </row>
    <row r="68" spans="1:8" x14ac:dyDescent="0.25">
      <c r="A68" t="s">
        <v>37</v>
      </c>
      <c r="B68" t="s">
        <v>113</v>
      </c>
    </row>
    <row r="69" spans="1:8" x14ac:dyDescent="0.25">
      <c r="A69" t="s">
        <v>38</v>
      </c>
      <c r="B69" t="s">
        <v>118</v>
      </c>
    </row>
    <row r="70" spans="1:8" x14ac:dyDescent="0.25">
      <c r="A70" t="s">
        <v>39</v>
      </c>
      <c r="B70" t="s">
        <v>118</v>
      </c>
    </row>
    <row r="71" spans="1:8" x14ac:dyDescent="0.25">
      <c r="A71" t="s">
        <v>40</v>
      </c>
      <c r="B71" t="s">
        <v>114</v>
      </c>
    </row>
    <row r="72" spans="1:8" x14ac:dyDescent="0.25">
      <c r="A72" t="s">
        <v>41</v>
      </c>
      <c r="B72" t="s">
        <v>117</v>
      </c>
    </row>
    <row r="73" spans="1:8" x14ac:dyDescent="0.25">
      <c r="A73" t="s">
        <v>42</v>
      </c>
      <c r="B73" t="s">
        <v>122</v>
      </c>
      <c r="H73" t="s">
        <v>270</v>
      </c>
    </row>
    <row r="74" spans="1:8" x14ac:dyDescent="0.25">
      <c r="A74" t="s">
        <v>43</v>
      </c>
      <c r="B74" t="s">
        <v>118</v>
      </c>
    </row>
    <row r="75" spans="1:8" x14ac:dyDescent="0.25">
      <c r="A75" t="s">
        <v>44</v>
      </c>
      <c r="B75" t="s">
        <v>118</v>
      </c>
    </row>
    <row r="76" spans="1:8" x14ac:dyDescent="0.25">
      <c r="A76" t="s">
        <v>45</v>
      </c>
      <c r="B76" t="s">
        <v>113</v>
      </c>
    </row>
    <row r="77" spans="1:8" x14ac:dyDescent="0.25">
      <c r="A77" t="s">
        <v>46</v>
      </c>
      <c r="B77" t="s">
        <v>294</v>
      </c>
    </row>
    <row r="78" spans="1:8" x14ac:dyDescent="0.25">
      <c r="A78" t="s">
        <v>47</v>
      </c>
      <c r="B78" t="s">
        <v>122</v>
      </c>
    </row>
    <row r="79" spans="1:8" x14ac:dyDescent="0.25">
      <c r="A79" t="s">
        <v>48</v>
      </c>
      <c r="B79" t="s">
        <v>122</v>
      </c>
    </row>
    <row r="80" spans="1:8" x14ac:dyDescent="0.25">
      <c r="A80" t="s">
        <v>49</v>
      </c>
      <c r="B80" t="s">
        <v>113</v>
      </c>
    </row>
    <row r="81" spans="1:2" x14ac:dyDescent="0.25">
      <c r="A81" t="s">
        <v>50</v>
      </c>
      <c r="B81" t="s">
        <v>122</v>
      </c>
    </row>
    <row r="82" spans="1:2" x14ac:dyDescent="0.25">
      <c r="A82" t="s">
        <v>51</v>
      </c>
      <c r="B82" t="s">
        <v>122</v>
      </c>
    </row>
    <row r="83" spans="1:2" x14ac:dyDescent="0.25">
      <c r="A83" t="s">
        <v>214</v>
      </c>
      <c r="B83" t="s">
        <v>120</v>
      </c>
    </row>
    <row r="84" spans="1:2" x14ac:dyDescent="0.25">
      <c r="A84" t="s">
        <v>215</v>
      </c>
      <c r="B84" t="s">
        <v>120</v>
      </c>
    </row>
    <row r="85" spans="1:2" x14ac:dyDescent="0.25">
      <c r="A85" t="s">
        <v>216</v>
      </c>
      <c r="B85" t="s">
        <v>120</v>
      </c>
    </row>
    <row r="86" spans="1:2" x14ac:dyDescent="0.25">
      <c r="A86" t="s">
        <v>217</v>
      </c>
      <c r="B86" t="s">
        <v>120</v>
      </c>
    </row>
    <row r="87" spans="1:2" x14ac:dyDescent="0.25">
      <c r="A87" t="s">
        <v>218</v>
      </c>
      <c r="B87" t="s">
        <v>120</v>
      </c>
    </row>
    <row r="88" spans="1:2" x14ac:dyDescent="0.25">
      <c r="A88" t="s">
        <v>219</v>
      </c>
      <c r="B88" t="s">
        <v>120</v>
      </c>
    </row>
    <row r="89" spans="1:2" x14ac:dyDescent="0.25">
      <c r="A89" t="s">
        <v>220</v>
      </c>
      <c r="B89" t="s">
        <v>120</v>
      </c>
    </row>
    <row r="90" spans="1:2" x14ac:dyDescent="0.25">
      <c r="A90" t="s">
        <v>221</v>
      </c>
      <c r="B90" t="s">
        <v>120</v>
      </c>
    </row>
    <row r="91" spans="1:2" x14ac:dyDescent="0.25">
      <c r="A91" t="s">
        <v>222</v>
      </c>
      <c r="B91" t="s">
        <v>120</v>
      </c>
    </row>
    <row r="92" spans="1:2" x14ac:dyDescent="0.25">
      <c r="A92" t="s">
        <v>52</v>
      </c>
      <c r="B92" t="s">
        <v>120</v>
      </c>
    </row>
    <row r="93" spans="1:2" x14ac:dyDescent="0.25">
      <c r="A93" t="s">
        <v>53</v>
      </c>
      <c r="B93" t="s">
        <v>121</v>
      </c>
    </row>
    <row r="94" spans="1:2" x14ac:dyDescent="0.25">
      <c r="A94" t="s">
        <v>54</v>
      </c>
      <c r="B94" t="s">
        <v>116</v>
      </c>
    </row>
    <row r="95" spans="1:2" x14ac:dyDescent="0.25">
      <c r="A95" t="s">
        <v>55</v>
      </c>
      <c r="B95" t="s">
        <v>121</v>
      </c>
    </row>
    <row r="96" spans="1:2" x14ac:dyDescent="0.25">
      <c r="A96" t="s">
        <v>56</v>
      </c>
      <c r="B96" t="s">
        <v>116</v>
      </c>
    </row>
    <row r="97" spans="1:2" x14ac:dyDescent="0.25">
      <c r="A97" t="s">
        <v>57</v>
      </c>
      <c r="B97" t="s">
        <v>118</v>
      </c>
    </row>
    <row r="98" spans="1:2" x14ac:dyDescent="0.25">
      <c r="A98" t="s">
        <v>58</v>
      </c>
      <c r="B98" t="s">
        <v>114</v>
      </c>
    </row>
    <row r="99" spans="1:2" x14ac:dyDescent="0.25">
      <c r="A99" t="s">
        <v>59</v>
      </c>
      <c r="B99" t="s">
        <v>120</v>
      </c>
    </row>
    <row r="100" spans="1:2" x14ac:dyDescent="0.25">
      <c r="A100" t="s">
        <v>223</v>
      </c>
      <c r="B100" t="s">
        <v>120</v>
      </c>
    </row>
    <row r="101" spans="1:2" x14ac:dyDescent="0.25">
      <c r="A101" t="s">
        <v>224</v>
      </c>
      <c r="B101" t="s">
        <v>120</v>
      </c>
    </row>
    <row r="102" spans="1:2" x14ac:dyDescent="0.25">
      <c r="A102" t="s">
        <v>225</v>
      </c>
      <c r="B102" t="s">
        <v>120</v>
      </c>
    </row>
    <row r="103" spans="1:2" x14ac:dyDescent="0.25">
      <c r="A103" t="s">
        <v>226</v>
      </c>
      <c r="B103" t="s">
        <v>120</v>
      </c>
    </row>
    <row r="104" spans="1:2" x14ac:dyDescent="0.25">
      <c r="A104" t="s">
        <v>227</v>
      </c>
      <c r="B104" t="s">
        <v>120</v>
      </c>
    </row>
    <row r="105" spans="1:2" x14ac:dyDescent="0.25">
      <c r="A105" t="s">
        <v>228</v>
      </c>
      <c r="B105" t="s">
        <v>120</v>
      </c>
    </row>
    <row r="106" spans="1:2" x14ac:dyDescent="0.25">
      <c r="A106" t="s">
        <v>229</v>
      </c>
      <c r="B106" t="s">
        <v>120</v>
      </c>
    </row>
    <row r="107" spans="1:2" x14ac:dyDescent="0.25">
      <c r="A107" t="s">
        <v>230</v>
      </c>
      <c r="B107" t="s">
        <v>120</v>
      </c>
    </row>
    <row r="108" spans="1:2" x14ac:dyDescent="0.25">
      <c r="A108" t="s">
        <v>231</v>
      </c>
      <c r="B108" t="s">
        <v>120</v>
      </c>
    </row>
    <row r="109" spans="1:2" x14ac:dyDescent="0.25">
      <c r="A109" t="s">
        <v>60</v>
      </c>
      <c r="B109" t="s">
        <v>114</v>
      </c>
    </row>
    <row r="110" spans="1:2" x14ac:dyDescent="0.25">
      <c r="A110" t="s">
        <v>61</v>
      </c>
      <c r="B110" t="s">
        <v>114</v>
      </c>
    </row>
    <row r="111" spans="1:2" x14ac:dyDescent="0.25">
      <c r="A111" t="s">
        <v>62</v>
      </c>
      <c r="B111" t="s">
        <v>122</v>
      </c>
    </row>
    <row r="112" spans="1:2" x14ac:dyDescent="0.25">
      <c r="A112" t="s">
        <v>232</v>
      </c>
      <c r="B112" t="s">
        <v>113</v>
      </c>
    </row>
    <row r="113" spans="1:2" x14ac:dyDescent="0.25">
      <c r="A113" t="s">
        <v>233</v>
      </c>
      <c r="B113" t="s">
        <v>113</v>
      </c>
    </row>
    <row r="114" spans="1:2" x14ac:dyDescent="0.25">
      <c r="A114" t="s">
        <v>234</v>
      </c>
      <c r="B114" t="s">
        <v>113</v>
      </c>
    </row>
    <row r="115" spans="1:2" x14ac:dyDescent="0.25">
      <c r="A115" t="s">
        <v>235</v>
      </c>
      <c r="B115" t="s">
        <v>113</v>
      </c>
    </row>
    <row r="116" spans="1:2" x14ac:dyDescent="0.25">
      <c r="A116" t="s">
        <v>236</v>
      </c>
      <c r="B116" t="s">
        <v>113</v>
      </c>
    </row>
    <row r="117" spans="1:2" x14ac:dyDescent="0.25">
      <c r="A117" t="s">
        <v>237</v>
      </c>
      <c r="B117" t="s">
        <v>113</v>
      </c>
    </row>
    <row r="118" spans="1:2" x14ac:dyDescent="0.25">
      <c r="A118" t="s">
        <v>238</v>
      </c>
      <c r="B118" t="s">
        <v>113</v>
      </c>
    </row>
    <row r="119" spans="1:2" x14ac:dyDescent="0.25">
      <c r="A119" t="s">
        <v>239</v>
      </c>
      <c r="B119" t="s">
        <v>113</v>
      </c>
    </row>
    <row r="120" spans="1:2" x14ac:dyDescent="0.25">
      <c r="A120" t="s">
        <v>240</v>
      </c>
      <c r="B120" t="s">
        <v>113</v>
      </c>
    </row>
    <row r="121" spans="1:2" x14ac:dyDescent="0.25">
      <c r="A121" t="s">
        <v>63</v>
      </c>
      <c r="B121" t="s">
        <v>119</v>
      </c>
    </row>
    <row r="122" spans="1:2" x14ac:dyDescent="0.25">
      <c r="A122" t="s">
        <v>64</v>
      </c>
      <c r="B122" t="s">
        <v>116</v>
      </c>
    </row>
    <row r="123" spans="1:2" x14ac:dyDescent="0.25">
      <c r="A123" t="s">
        <v>65</v>
      </c>
      <c r="B123" t="s">
        <v>116</v>
      </c>
    </row>
    <row r="124" spans="1:2" x14ac:dyDescent="0.25">
      <c r="A124" t="s">
        <v>66</v>
      </c>
      <c r="B124" t="s">
        <v>121</v>
      </c>
    </row>
    <row r="125" spans="1:2" x14ac:dyDescent="0.25">
      <c r="A125" t="s">
        <v>67</v>
      </c>
      <c r="B125" t="s">
        <v>294</v>
      </c>
    </row>
    <row r="126" spans="1:2" x14ac:dyDescent="0.25">
      <c r="A126" t="s">
        <v>68</v>
      </c>
      <c r="B126" t="s">
        <v>113</v>
      </c>
    </row>
    <row r="127" spans="1:2" x14ac:dyDescent="0.25">
      <c r="A127" t="s">
        <v>69</v>
      </c>
      <c r="B127" t="s">
        <v>120</v>
      </c>
    </row>
    <row r="128" spans="1:2" x14ac:dyDescent="0.25">
      <c r="A128" t="s">
        <v>70</v>
      </c>
      <c r="B128" t="s">
        <v>114</v>
      </c>
    </row>
    <row r="129" spans="1:2" x14ac:dyDescent="0.25">
      <c r="A129" t="s">
        <v>71</v>
      </c>
      <c r="B129" t="s">
        <v>122</v>
      </c>
    </row>
    <row r="130" spans="1:2" x14ac:dyDescent="0.25">
      <c r="A130" t="s">
        <v>72</v>
      </c>
      <c r="B130" t="s">
        <v>294</v>
      </c>
    </row>
    <row r="131" spans="1:2" x14ac:dyDescent="0.25">
      <c r="A131" t="s">
        <v>73</v>
      </c>
      <c r="B131" t="s">
        <v>122</v>
      </c>
    </row>
    <row r="132" spans="1:2" x14ac:dyDescent="0.25">
      <c r="A132" t="s">
        <v>74</v>
      </c>
      <c r="B132" t="s">
        <v>115</v>
      </c>
    </row>
    <row r="133" spans="1:2" x14ac:dyDescent="0.25">
      <c r="A133" t="s">
        <v>75</v>
      </c>
      <c r="B133" t="s">
        <v>114</v>
      </c>
    </row>
    <row r="134" spans="1:2" x14ac:dyDescent="0.25">
      <c r="A134" t="s">
        <v>76</v>
      </c>
      <c r="B134" t="s">
        <v>120</v>
      </c>
    </row>
    <row r="135" spans="1:2" x14ac:dyDescent="0.25">
      <c r="A135" t="s">
        <v>77</v>
      </c>
      <c r="B135" t="s">
        <v>114</v>
      </c>
    </row>
    <row r="136" spans="1:2" x14ac:dyDescent="0.25">
      <c r="A136" t="s">
        <v>78</v>
      </c>
      <c r="B136" t="s">
        <v>114</v>
      </c>
    </row>
    <row r="137" spans="1:2" x14ac:dyDescent="0.25">
      <c r="A137" t="s">
        <v>79</v>
      </c>
      <c r="B137" t="s">
        <v>113</v>
      </c>
    </row>
    <row r="138" spans="1:2" x14ac:dyDescent="0.25">
      <c r="A138" t="s">
        <v>241</v>
      </c>
      <c r="B138" t="s">
        <v>118</v>
      </c>
    </row>
    <row r="139" spans="1:2" x14ac:dyDescent="0.25">
      <c r="A139" t="s">
        <v>242</v>
      </c>
      <c r="B139" t="s">
        <v>118</v>
      </c>
    </row>
    <row r="140" spans="1:2" x14ac:dyDescent="0.25">
      <c r="A140" t="s">
        <v>243</v>
      </c>
      <c r="B140" t="s">
        <v>118</v>
      </c>
    </row>
    <row r="141" spans="1:2" x14ac:dyDescent="0.25">
      <c r="A141" t="s">
        <v>244</v>
      </c>
      <c r="B141" t="s">
        <v>118</v>
      </c>
    </row>
    <row r="142" spans="1:2" x14ac:dyDescent="0.25">
      <c r="A142" t="s">
        <v>245</v>
      </c>
      <c r="B142" t="s">
        <v>118</v>
      </c>
    </row>
    <row r="143" spans="1:2" x14ac:dyDescent="0.25">
      <c r="A143" t="s">
        <v>246</v>
      </c>
      <c r="B143" t="s">
        <v>118</v>
      </c>
    </row>
    <row r="144" spans="1:2" x14ac:dyDescent="0.25">
      <c r="A144" t="s">
        <v>247</v>
      </c>
      <c r="B144" t="s">
        <v>118</v>
      </c>
    </row>
    <row r="145" spans="1:2" x14ac:dyDescent="0.25">
      <c r="A145" t="s">
        <v>248</v>
      </c>
      <c r="B145" t="s">
        <v>118</v>
      </c>
    </row>
    <row r="146" spans="1:2" x14ac:dyDescent="0.25">
      <c r="A146" t="s">
        <v>249</v>
      </c>
      <c r="B146" t="s">
        <v>118</v>
      </c>
    </row>
    <row r="147" spans="1:2" x14ac:dyDescent="0.25">
      <c r="A147" t="s">
        <v>80</v>
      </c>
      <c r="B147" t="s">
        <v>121</v>
      </c>
    </row>
    <row r="148" spans="1:2" x14ac:dyDescent="0.25">
      <c r="A148" t="s">
        <v>81</v>
      </c>
      <c r="B148" t="s">
        <v>113</v>
      </c>
    </row>
    <row r="149" spans="1:2" x14ac:dyDescent="0.25">
      <c r="A149" t="s">
        <v>82</v>
      </c>
      <c r="B149" t="s">
        <v>114</v>
      </c>
    </row>
    <row r="150" spans="1:2" x14ac:dyDescent="0.25">
      <c r="A150" t="s">
        <v>83</v>
      </c>
      <c r="B150" t="s">
        <v>120</v>
      </c>
    </row>
    <row r="151" spans="1:2" x14ac:dyDescent="0.25">
      <c r="A151" t="s">
        <v>84</v>
      </c>
      <c r="B151" t="s">
        <v>114</v>
      </c>
    </row>
    <row r="152" spans="1:2" x14ac:dyDescent="0.25">
      <c r="A152" t="s">
        <v>85</v>
      </c>
      <c r="B152" t="s">
        <v>113</v>
      </c>
    </row>
    <row r="153" spans="1:2" x14ac:dyDescent="0.25">
      <c r="A153" t="s">
        <v>86</v>
      </c>
      <c r="B153" t="s">
        <v>115</v>
      </c>
    </row>
    <row r="154" spans="1:2" x14ac:dyDescent="0.25">
      <c r="A154" t="s">
        <v>87</v>
      </c>
      <c r="B154" t="s">
        <v>114</v>
      </c>
    </row>
    <row r="155" spans="1:2" x14ac:dyDescent="0.25">
      <c r="A155" t="s">
        <v>88</v>
      </c>
      <c r="B155" t="s">
        <v>115</v>
      </c>
    </row>
    <row r="156" spans="1:2" x14ac:dyDescent="0.25">
      <c r="A156" t="s">
        <v>89</v>
      </c>
      <c r="B156" t="s">
        <v>119</v>
      </c>
    </row>
    <row r="157" spans="1:2" x14ac:dyDescent="0.25">
      <c r="A157" t="s">
        <v>90</v>
      </c>
      <c r="B157" t="s">
        <v>294</v>
      </c>
    </row>
    <row r="158" spans="1:2" x14ac:dyDescent="0.25">
      <c r="A158" t="s">
        <v>91</v>
      </c>
      <c r="B158" t="s">
        <v>117</v>
      </c>
    </row>
    <row r="159" spans="1:2" x14ac:dyDescent="0.25">
      <c r="A159" t="s">
        <v>92</v>
      </c>
      <c r="B159" t="s">
        <v>113</v>
      </c>
    </row>
    <row r="160" spans="1:2" x14ac:dyDescent="0.25">
      <c r="A160" t="s">
        <v>93</v>
      </c>
      <c r="B160" t="s">
        <v>117</v>
      </c>
    </row>
    <row r="161" spans="1:2" x14ac:dyDescent="0.25">
      <c r="A161" t="s">
        <v>94</v>
      </c>
      <c r="B161" t="s">
        <v>115</v>
      </c>
    </row>
    <row r="162" spans="1:2" x14ac:dyDescent="0.25">
      <c r="A162" t="s">
        <v>95</v>
      </c>
      <c r="B162" t="s">
        <v>122</v>
      </c>
    </row>
    <row r="163" spans="1:2" x14ac:dyDescent="0.25">
      <c r="A163" t="s">
        <v>96</v>
      </c>
      <c r="B163" t="s">
        <v>117</v>
      </c>
    </row>
    <row r="164" spans="1:2" x14ac:dyDescent="0.25">
      <c r="A164" t="s">
        <v>97</v>
      </c>
      <c r="B164" t="s">
        <v>114</v>
      </c>
    </row>
    <row r="165" spans="1:2" x14ac:dyDescent="0.25">
      <c r="A165" t="s">
        <v>98</v>
      </c>
      <c r="B165" t="s">
        <v>115</v>
      </c>
    </row>
    <row r="166" spans="1:2" x14ac:dyDescent="0.25">
      <c r="A166" t="s">
        <v>99</v>
      </c>
      <c r="B166" t="s">
        <v>115</v>
      </c>
    </row>
    <row r="167" spans="1:2" x14ac:dyDescent="0.25">
      <c r="A167" t="s">
        <v>100</v>
      </c>
      <c r="B167" t="s">
        <v>119</v>
      </c>
    </row>
    <row r="168" spans="1:2" x14ac:dyDescent="0.25">
      <c r="A168" t="s">
        <v>101</v>
      </c>
      <c r="B168" t="s">
        <v>113</v>
      </c>
    </row>
    <row r="169" spans="1:2" x14ac:dyDescent="0.25">
      <c r="A169" t="s">
        <v>102</v>
      </c>
      <c r="B169" t="s">
        <v>113</v>
      </c>
    </row>
    <row r="170" spans="1:2" x14ac:dyDescent="0.25">
      <c r="A170" t="s">
        <v>250</v>
      </c>
      <c r="B170" t="s">
        <v>113</v>
      </c>
    </row>
    <row r="171" spans="1:2" x14ac:dyDescent="0.25">
      <c r="A171" t="s">
        <v>251</v>
      </c>
      <c r="B171" t="s">
        <v>113</v>
      </c>
    </row>
    <row r="172" spans="1:2" x14ac:dyDescent="0.25">
      <c r="A172" t="s">
        <v>252</v>
      </c>
      <c r="B172" t="s">
        <v>113</v>
      </c>
    </row>
    <row r="173" spans="1:2" x14ac:dyDescent="0.25">
      <c r="A173" t="s">
        <v>253</v>
      </c>
      <c r="B173" t="s">
        <v>113</v>
      </c>
    </row>
    <row r="174" spans="1:2" x14ac:dyDescent="0.25">
      <c r="A174" t="s">
        <v>254</v>
      </c>
      <c r="B174" t="s">
        <v>113</v>
      </c>
    </row>
    <row r="175" spans="1:2" x14ac:dyDescent="0.25">
      <c r="A175" t="s">
        <v>255</v>
      </c>
      <c r="B175" t="s">
        <v>113</v>
      </c>
    </row>
    <row r="176" spans="1:2" x14ac:dyDescent="0.25">
      <c r="A176" t="s">
        <v>256</v>
      </c>
      <c r="B176" t="s">
        <v>113</v>
      </c>
    </row>
    <row r="177" spans="1:2" x14ac:dyDescent="0.25">
      <c r="A177" t="s">
        <v>257</v>
      </c>
      <c r="B177" t="s">
        <v>113</v>
      </c>
    </row>
    <row r="178" spans="1:2" x14ac:dyDescent="0.25">
      <c r="A178" t="s">
        <v>258</v>
      </c>
      <c r="B178" t="s">
        <v>113</v>
      </c>
    </row>
    <row r="179" spans="1:2" x14ac:dyDescent="0.25">
      <c r="A179" t="s">
        <v>103</v>
      </c>
      <c r="B179" t="s">
        <v>120</v>
      </c>
    </row>
    <row r="180" spans="1:2" x14ac:dyDescent="0.25">
      <c r="A180" t="s">
        <v>104</v>
      </c>
      <c r="B180" t="s">
        <v>113</v>
      </c>
    </row>
    <row r="181" spans="1:2" x14ac:dyDescent="0.25">
      <c r="A181" t="s">
        <v>105</v>
      </c>
      <c r="B181" t="s">
        <v>113</v>
      </c>
    </row>
    <row r="182" spans="1:2" x14ac:dyDescent="0.25">
      <c r="A182" t="s">
        <v>106</v>
      </c>
      <c r="B182" t="s">
        <v>118</v>
      </c>
    </row>
    <row r="183" spans="1:2" x14ac:dyDescent="0.25">
      <c r="A183" t="s">
        <v>107</v>
      </c>
      <c r="B183" t="s">
        <v>120</v>
      </c>
    </row>
    <row r="184" spans="1:2" x14ac:dyDescent="0.25">
      <c r="A184" t="s">
        <v>108</v>
      </c>
      <c r="B184" t="s">
        <v>117</v>
      </c>
    </row>
    <row r="185" spans="1:2" x14ac:dyDescent="0.25">
      <c r="A185" t="s">
        <v>109</v>
      </c>
      <c r="B185" t="s">
        <v>117</v>
      </c>
    </row>
    <row r="186" spans="1:2" x14ac:dyDescent="0.25">
      <c r="A186" t="s">
        <v>110</v>
      </c>
      <c r="B186" t="s">
        <v>117</v>
      </c>
    </row>
    <row r="187" spans="1:2" x14ac:dyDescent="0.25">
      <c r="A187" t="s">
        <v>111</v>
      </c>
      <c r="B187" t="s">
        <v>118</v>
      </c>
    </row>
    <row r="188" spans="1:2" x14ac:dyDescent="0.25">
      <c r="A188" t="s">
        <v>112</v>
      </c>
      <c r="B188" t="s">
        <v>122</v>
      </c>
    </row>
  </sheetData>
  <sheetProtection algorithmName="SHA-512" hashValue="ZMevH/wyHcukiavzp28uc9Yvn1WG15MWmi9KBpUfkbBkt1zcjaDsXPobi5M2JCe5pRU5LRVf1+bc1BvrcPtLrg==" saltValue="O0BA1HVhzhH7NC/tW+5ceg==" spinCount="100000" sheet="1" objects="1" scenarios="1"/>
  <autoFilter ref="A2:B188" xr:uid="{00000000-0009-0000-0000-000008000000}">
    <sortState xmlns:xlrd2="http://schemas.microsoft.com/office/spreadsheetml/2017/richdata2" ref="A3:B188">
      <sortCondition ref="A2:A188"/>
    </sortState>
  </autoFilter>
  <customSheetViews>
    <customSheetView guid="{0C762E80-EE8B-4405-B1DD-B3A926628697}" filter="1" showAutoFilter="1" state="hidden">
      <selection activeCell="E208" sqref="E208"/>
      <pageMargins left="0.7" right="0.7" top="0.75" bottom="0.75" header="0.3" footer="0.3"/>
      <autoFilter ref="B1:C1" xr:uid="{0F2A46C6-3537-4FA1-B911-A81B63A383CC}">
        <filterColumn colId="1">
          <filters>
            <filter val="East"/>
          </filters>
        </filterColumn>
      </autoFilter>
    </customSheetView>
  </customSheetViews>
  <pageMargins left="0.7" right="0.7" top="0.75" bottom="0.75" header="0.3" footer="0.3"/>
  <pageSetup paperSize="9" orientation="portrait" verticalDpi="0" r:id="rId2"/>
  <headerFooter>
    <oddFooter>&amp;C_x000D_&amp;1#&amp;"Calibri"&amp;10&amp;K000000 HIGHLY CONFIDENTIAL</oddFooter>
  </headerFooter>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F7651-142B-4925-B562-51DE0A982102}">
  <sheetPr codeName="Sheet16"/>
  <dimension ref="B1:T152"/>
  <sheetViews>
    <sheetView topLeftCell="A24" zoomScale="80" zoomScaleNormal="80" workbookViewId="0">
      <selection activeCell="C4" sqref="C4:G4"/>
    </sheetView>
  </sheetViews>
  <sheetFormatPr defaultColWidth="9.140625" defaultRowHeight="15" x14ac:dyDescent="0.25"/>
  <cols>
    <col min="1" max="1" width="5.42578125" style="76" customWidth="1"/>
    <col min="2" max="2" width="17.85546875" style="76" bestFit="1" customWidth="1"/>
    <col min="3" max="3" width="36.7109375" style="76" customWidth="1"/>
    <col min="4" max="4" width="33.7109375" style="76" customWidth="1"/>
    <col min="5" max="5" width="2.28515625" style="76" customWidth="1"/>
    <col min="6" max="8" width="33.7109375" style="76" customWidth="1"/>
    <col min="9" max="9" width="5.42578125" style="76" customWidth="1"/>
    <col min="10" max="10" width="20.7109375" style="82" bestFit="1" customWidth="1"/>
    <col min="11" max="11" width="31.85546875" style="82" bestFit="1" customWidth="1"/>
    <col min="12" max="12" width="4.5703125" style="83" bestFit="1" customWidth="1"/>
    <col min="13" max="13" width="8.5703125" style="82" customWidth="1"/>
    <col min="14" max="14" width="15.28515625" style="82" customWidth="1"/>
    <col min="15" max="15" width="6" style="82" customWidth="1"/>
    <col min="16" max="16" width="9.85546875" style="82" customWidth="1"/>
    <col min="17" max="17" width="9.140625" style="81"/>
    <col min="18" max="18" width="22.85546875" style="44" customWidth="1"/>
    <col min="19" max="20" width="9.140625" style="72"/>
    <col min="21" max="16384" width="9.140625" style="76"/>
  </cols>
  <sheetData>
    <row r="1" spans="2:11" ht="15.75" thickBot="1" x14ac:dyDescent="0.3"/>
    <row r="2" spans="2:11" ht="45.75" x14ac:dyDescent="0.7">
      <c r="B2" s="186"/>
      <c r="C2" s="768" t="s">
        <v>534</v>
      </c>
      <c r="D2" s="769"/>
      <c r="E2" s="769"/>
      <c r="F2" s="769"/>
      <c r="G2" s="185"/>
      <c r="H2" s="185"/>
      <c r="I2" s="184"/>
      <c r="J2" s="183"/>
    </row>
    <row r="3" spans="2:11" ht="15.75" customHeight="1" x14ac:dyDescent="0.7">
      <c r="B3" s="137"/>
      <c r="C3" s="183"/>
      <c r="D3" s="183"/>
      <c r="E3" s="183"/>
      <c r="F3" s="183"/>
      <c r="G3" s="183"/>
      <c r="H3" s="183"/>
      <c r="I3" s="182"/>
      <c r="J3" s="246"/>
      <c r="K3" s="181"/>
    </row>
    <row r="4" spans="2:11" ht="15.75" customHeight="1" thickBot="1" x14ac:dyDescent="0.4">
      <c r="B4" s="154" t="s">
        <v>533</v>
      </c>
      <c r="C4" s="62"/>
      <c r="I4" s="134"/>
      <c r="K4" s="44"/>
    </row>
    <row r="5" spans="2:11" ht="15.75" customHeight="1" thickBot="1" x14ac:dyDescent="0.4">
      <c r="B5" s="154"/>
      <c r="C5" s="62" t="s">
        <v>163</v>
      </c>
      <c r="D5" s="180">
        <f>Enquiry!E36</f>
        <v>0</v>
      </c>
      <c r="I5" s="134"/>
      <c r="K5" s="44"/>
    </row>
    <row r="6" spans="2:11" ht="6" customHeight="1" thickBot="1" x14ac:dyDescent="0.4">
      <c r="B6" s="154"/>
      <c r="C6" s="62"/>
      <c r="D6" s="85"/>
      <c r="I6" s="134"/>
    </row>
    <row r="7" spans="2:11" ht="15.75" customHeight="1" thickBot="1" x14ac:dyDescent="0.4">
      <c r="B7" s="154"/>
      <c r="C7" s="62" t="s">
        <v>532</v>
      </c>
      <c r="D7" s="179">
        <f>Enquiry!R22</f>
        <v>0</v>
      </c>
      <c r="I7" s="134"/>
    </row>
    <row r="8" spans="2:11" ht="6" customHeight="1" thickBot="1" x14ac:dyDescent="0.4">
      <c r="B8" s="154"/>
      <c r="C8" s="62"/>
      <c r="I8" s="134"/>
    </row>
    <row r="9" spans="2:11" ht="15.75" customHeight="1" thickBot="1" x14ac:dyDescent="0.4">
      <c r="B9" s="154"/>
      <c r="C9" s="62" t="s">
        <v>531</v>
      </c>
      <c r="D9" s="178" t="str">
        <f>IF(Enquiry!E36=Enquiry!E37,"Capital Repayment",IF(Enquiry!E36=Enquiry!K37,"Interest Only",IF(Enquiry!E36=Enquiry!E37+Enquiry!K37,"Part capital repayment/Part interest only","")))</f>
        <v>Capital Repayment</v>
      </c>
      <c r="I9" s="134"/>
    </row>
    <row r="10" spans="2:11" ht="6" customHeight="1" thickBot="1" x14ac:dyDescent="0.4">
      <c r="B10" s="154"/>
      <c r="C10" s="62"/>
      <c r="I10" s="134"/>
    </row>
    <row r="11" spans="2:11" ht="15.75" customHeight="1" thickBot="1" x14ac:dyDescent="0.4">
      <c r="B11" s="154"/>
      <c r="C11" s="62" t="s">
        <v>530</v>
      </c>
      <c r="D11" s="177">
        <f>Enquiry!E37</f>
        <v>0</v>
      </c>
      <c r="I11" s="134"/>
      <c r="J11" s="176"/>
    </row>
    <row r="12" spans="2:11" ht="6" customHeight="1" thickBot="1" x14ac:dyDescent="0.4">
      <c r="B12" s="154"/>
      <c r="C12" s="62"/>
      <c r="I12" s="134"/>
    </row>
    <row r="13" spans="2:11" ht="15.75" customHeight="1" thickBot="1" x14ac:dyDescent="0.4">
      <c r="B13" s="154"/>
      <c r="C13" s="62" t="s">
        <v>529</v>
      </c>
      <c r="D13" s="175">
        <f>Enquiry!K37</f>
        <v>0</v>
      </c>
      <c r="I13" s="134"/>
    </row>
    <row r="14" spans="2:11" ht="6" customHeight="1" thickBot="1" x14ac:dyDescent="0.4">
      <c r="B14" s="154"/>
      <c r="C14" s="62"/>
      <c r="D14" s="174"/>
      <c r="I14" s="134"/>
    </row>
    <row r="15" spans="2:11" ht="15.75" customHeight="1" thickBot="1" x14ac:dyDescent="0.4">
      <c r="B15" s="154"/>
      <c r="C15" s="62" t="s">
        <v>528</v>
      </c>
      <c r="D15" s="173">
        <f>Enquiry!K38</f>
        <v>0</v>
      </c>
      <c r="I15" s="134"/>
    </row>
    <row r="16" spans="2:11" ht="6" customHeight="1" thickBot="1" x14ac:dyDescent="0.4">
      <c r="B16" s="154"/>
      <c r="C16" s="62"/>
      <c r="I16" s="134"/>
    </row>
    <row r="17" spans="2:16" ht="15.75" customHeight="1" thickBot="1" x14ac:dyDescent="0.3">
      <c r="B17" s="137"/>
      <c r="C17" s="62" t="s">
        <v>527</v>
      </c>
      <c r="D17" s="172">
        <f>Enquiry!T38</f>
        <v>0</v>
      </c>
      <c r="I17" s="168"/>
      <c r="J17" s="171"/>
    </row>
    <row r="18" spans="2:16" ht="6" customHeight="1" x14ac:dyDescent="0.25">
      <c r="B18" s="137"/>
      <c r="C18" s="62"/>
      <c r="D18" s="170"/>
      <c r="E18" s="170"/>
      <c r="I18" s="168"/>
      <c r="J18" s="147"/>
      <c r="K18" s="147"/>
      <c r="L18" s="167"/>
      <c r="M18" s="164"/>
      <c r="N18" s="163"/>
    </row>
    <row r="19" spans="2:16" ht="23.25" x14ac:dyDescent="0.35">
      <c r="B19" s="154" t="s">
        <v>526</v>
      </c>
      <c r="D19" s="169" t="s">
        <v>139</v>
      </c>
      <c r="E19" s="169"/>
      <c r="F19" s="169" t="s">
        <v>140</v>
      </c>
      <c r="G19" s="169" t="s">
        <v>353</v>
      </c>
      <c r="H19" s="169" t="s">
        <v>354</v>
      </c>
      <c r="I19" s="168"/>
      <c r="J19" s="159" t="s">
        <v>525</v>
      </c>
      <c r="K19" s="147"/>
      <c r="L19" s="167"/>
      <c r="M19" s="164"/>
      <c r="N19" s="163"/>
    </row>
    <row r="20" spans="2:16" ht="6" customHeight="1" thickBot="1" x14ac:dyDescent="0.3">
      <c r="B20" s="137"/>
      <c r="I20" s="168"/>
      <c r="J20" s="147"/>
      <c r="K20" s="147"/>
      <c r="L20" s="167"/>
      <c r="M20" s="164"/>
      <c r="N20" s="163"/>
    </row>
    <row r="21" spans="2:16" ht="15.75" customHeight="1" thickBot="1" x14ac:dyDescent="0.3">
      <c r="B21" s="166" t="s">
        <v>273</v>
      </c>
      <c r="C21" s="62" t="s">
        <v>524</v>
      </c>
      <c r="D21" s="160">
        <f>Enquiry!E45</f>
        <v>0</v>
      </c>
      <c r="F21" s="160">
        <f>Enquiry!E48</f>
        <v>0</v>
      </c>
      <c r="G21" s="160">
        <f>+Enquiry!E51</f>
        <v>0</v>
      </c>
      <c r="H21" s="160">
        <f>+Enquiry!E54</f>
        <v>0</v>
      </c>
      <c r="I21" s="134"/>
      <c r="J21" s="147"/>
      <c r="K21" s="147"/>
      <c r="L21" s="167"/>
      <c r="M21" s="164"/>
      <c r="N21" s="163"/>
    </row>
    <row r="22" spans="2:16" ht="6" customHeight="1" thickBot="1" x14ac:dyDescent="0.3">
      <c r="B22" s="137"/>
      <c r="C22" s="62"/>
      <c r="D22" s="96"/>
      <c r="F22" s="96"/>
      <c r="G22" s="96"/>
      <c r="H22" s="96"/>
      <c r="I22" s="134"/>
      <c r="J22" s="147"/>
      <c r="K22" s="147"/>
      <c r="L22" s="167"/>
      <c r="M22" s="164"/>
      <c r="N22" s="163"/>
    </row>
    <row r="23" spans="2:16" ht="15.75" thickBot="1" x14ac:dyDescent="0.3">
      <c r="B23" s="166" t="s">
        <v>273</v>
      </c>
      <c r="C23" s="62" t="s">
        <v>523</v>
      </c>
      <c r="D23" s="160">
        <f>Enquiry!R45</f>
        <v>0</v>
      </c>
      <c r="F23" s="160">
        <f>Enquiry!R48</f>
        <v>0</v>
      </c>
      <c r="G23" s="160">
        <f>+Enquiry!R51</f>
        <v>0</v>
      </c>
      <c r="H23" s="160">
        <f>+Enquiry!R54</f>
        <v>0</v>
      </c>
      <c r="I23" s="134"/>
      <c r="J23" s="147"/>
      <c r="K23" s="147"/>
      <c r="L23" s="157"/>
      <c r="M23" s="147"/>
    </row>
    <row r="24" spans="2:16" ht="6" customHeight="1" thickBot="1" x14ac:dyDescent="0.3">
      <c r="B24" s="137"/>
      <c r="C24" s="62"/>
      <c r="D24" s="96"/>
      <c r="F24" s="96"/>
      <c r="G24" s="96"/>
      <c r="H24" s="96"/>
      <c r="I24" s="134"/>
      <c r="J24" s="147"/>
      <c r="K24" s="147"/>
      <c r="L24" s="167"/>
      <c r="M24" s="164"/>
      <c r="N24" s="163"/>
    </row>
    <row r="25" spans="2:16" ht="15.75" thickBot="1" x14ac:dyDescent="0.3">
      <c r="B25" s="166" t="s">
        <v>273</v>
      </c>
      <c r="C25" s="62" t="s">
        <v>522</v>
      </c>
      <c r="D25" s="156">
        <f>Enquiry!$I$46</f>
        <v>0</v>
      </c>
      <c r="F25" s="156">
        <f>Enquiry!$I$49</f>
        <v>0</v>
      </c>
      <c r="G25" s="156">
        <f>Enquiry!$I$52</f>
        <v>0</v>
      </c>
      <c r="H25" s="156">
        <f>Enquiry!$I$55</f>
        <v>0</v>
      </c>
      <c r="I25" s="134"/>
      <c r="J25" s="162"/>
      <c r="K25" s="147"/>
      <c r="L25" s="165" t="s">
        <v>339</v>
      </c>
      <c r="M25" s="164"/>
      <c r="N25" s="163"/>
    </row>
    <row r="26" spans="2:16" ht="15.75" thickBot="1" x14ac:dyDescent="0.3">
      <c r="B26" s="137"/>
      <c r="C26" s="62"/>
      <c r="D26" s="96"/>
      <c r="F26" s="96"/>
      <c r="G26" s="96"/>
      <c r="H26" s="96"/>
      <c r="I26" s="134"/>
      <c r="J26" s="162"/>
      <c r="K26" s="147"/>
      <c r="L26" s="151"/>
      <c r="M26" s="147"/>
    </row>
    <row r="27" spans="2:16" ht="15.75" thickBot="1" x14ac:dyDescent="0.3">
      <c r="B27" s="137"/>
      <c r="C27" s="62" t="s">
        <v>521</v>
      </c>
      <c r="D27" s="160">
        <f>Enquiry!U59</f>
        <v>0</v>
      </c>
      <c r="F27" s="160">
        <f>Enquiry!U62</f>
        <v>0</v>
      </c>
      <c r="G27" s="160">
        <f>+Enquiry!U65</f>
        <v>0</v>
      </c>
      <c r="H27" s="160">
        <f>+Enquiry!U68</f>
        <v>0</v>
      </c>
      <c r="I27" s="134"/>
      <c r="J27" s="159" t="s">
        <v>520</v>
      </c>
      <c r="K27" s="158">
        <f>(D21+D23+(D25)+D27+D29+D31+D33+D35)-((D41+D47+(D43*3%))*12)</f>
        <v>0</v>
      </c>
      <c r="L27" s="151">
        <f>Enquiry!$F$83</f>
        <v>0</v>
      </c>
      <c r="M27" s="147">
        <f>L27*K27</f>
        <v>0</v>
      </c>
    </row>
    <row r="28" spans="2:16" ht="15.75" thickBot="1" x14ac:dyDescent="0.3">
      <c r="B28" s="137"/>
      <c r="C28" s="62"/>
      <c r="D28" s="96"/>
      <c r="E28" s="96"/>
      <c r="F28" s="96"/>
      <c r="G28" s="96"/>
      <c r="H28" s="96"/>
      <c r="I28" s="134"/>
      <c r="J28" s="159"/>
      <c r="K28" s="158"/>
      <c r="L28" s="151"/>
      <c r="M28" s="147"/>
    </row>
    <row r="29" spans="2:16" ht="15.75" thickBot="1" x14ac:dyDescent="0.3">
      <c r="B29" s="137"/>
      <c r="C29" s="62" t="s">
        <v>519</v>
      </c>
      <c r="D29" s="160"/>
      <c r="E29" s="96"/>
      <c r="F29" s="160"/>
      <c r="G29" s="160"/>
      <c r="H29" s="160"/>
      <c r="I29" s="134"/>
      <c r="J29" s="159" t="s">
        <v>518</v>
      </c>
      <c r="K29" s="158">
        <f>(F21+F23+(F25)+F27+F29+F31+F33+F35)-((F41+F47+(F43*3%))*12)</f>
        <v>0</v>
      </c>
      <c r="L29" s="151">
        <f>Enquiry!$K$83</f>
        <v>0</v>
      </c>
      <c r="M29" s="147">
        <f>L29*K29</f>
        <v>0</v>
      </c>
    </row>
    <row r="30" spans="2:16" ht="15.75" thickBot="1" x14ac:dyDescent="0.3">
      <c r="B30" s="137"/>
      <c r="C30" s="62"/>
      <c r="D30" s="96"/>
      <c r="E30" s="96"/>
      <c r="F30" s="96"/>
      <c r="G30" s="96"/>
      <c r="H30" s="96"/>
      <c r="I30" s="134"/>
      <c r="J30" s="1"/>
      <c r="K30" s="158"/>
      <c r="L30" s="151"/>
      <c r="M30" s="147"/>
    </row>
    <row r="31" spans="2:16" ht="15.75" thickBot="1" x14ac:dyDescent="0.3">
      <c r="B31" s="137"/>
      <c r="C31" s="62" t="s">
        <v>517</v>
      </c>
      <c r="D31" s="160">
        <f>Enquiry!U60+Enquiry!U61</f>
        <v>0</v>
      </c>
      <c r="E31" s="96"/>
      <c r="F31" s="160">
        <f>Enquiry!U63+Enquiry!U64</f>
        <v>0</v>
      </c>
      <c r="G31" s="160">
        <f>+Enquiry!U66+Enquiry!U67</f>
        <v>0</v>
      </c>
      <c r="H31" s="160">
        <f>+Enquiry!U69+Enquiry!U70</f>
        <v>0</v>
      </c>
      <c r="I31" s="134"/>
      <c r="J31" s="159" t="s">
        <v>516</v>
      </c>
      <c r="K31" s="158">
        <f>(G21+G23+(G25)+G27+G29+G31+G33+G35)-((G41+G47+(G43*3%))*12)</f>
        <v>0</v>
      </c>
      <c r="L31" s="151">
        <f>Enquiry!$P$83</f>
        <v>0</v>
      </c>
      <c r="M31" s="147">
        <f>L31*K31</f>
        <v>0</v>
      </c>
      <c r="P31" s="161"/>
    </row>
    <row r="32" spans="2:16" ht="15.75" thickBot="1" x14ac:dyDescent="0.3">
      <c r="B32" s="137"/>
      <c r="C32" s="62"/>
      <c r="D32" s="96"/>
      <c r="E32" s="96"/>
      <c r="F32" s="96"/>
      <c r="G32" s="96"/>
      <c r="H32" s="96"/>
      <c r="I32" s="134"/>
      <c r="J32" s="147"/>
      <c r="K32" s="158"/>
      <c r="L32" s="151"/>
      <c r="M32" s="147"/>
    </row>
    <row r="33" spans="2:20" ht="15.75" thickBot="1" x14ac:dyDescent="0.3">
      <c r="B33" s="137"/>
      <c r="C33" s="62" t="s">
        <v>515</v>
      </c>
      <c r="D33" s="160"/>
      <c r="E33" s="96"/>
      <c r="F33" s="160"/>
      <c r="G33" s="160"/>
      <c r="H33" s="160"/>
      <c r="I33" s="134"/>
      <c r="J33" s="159" t="s">
        <v>514</v>
      </c>
      <c r="K33" s="158">
        <f>(H21+H23+(H25)+H27+H29+H31+H33+H35)-((H41+H47+(H43*3%))*12)</f>
        <v>0</v>
      </c>
      <c r="L33" s="151">
        <f>Enquiry!$U$83</f>
        <v>0</v>
      </c>
      <c r="M33" s="147">
        <f>L33*K33</f>
        <v>0</v>
      </c>
    </row>
    <row r="34" spans="2:20" ht="6" customHeight="1" thickBot="1" x14ac:dyDescent="0.3">
      <c r="B34" s="137"/>
      <c r="C34" s="62"/>
      <c r="D34" s="96"/>
      <c r="E34" s="96"/>
      <c r="F34" s="96"/>
      <c r="G34" s="96"/>
      <c r="H34" s="96"/>
      <c r="I34" s="134"/>
      <c r="J34" s="147"/>
      <c r="K34" s="147"/>
      <c r="L34" s="157"/>
      <c r="M34" s="147"/>
    </row>
    <row r="35" spans="2:20" ht="15.75" thickBot="1" x14ac:dyDescent="0.3">
      <c r="B35" s="137"/>
      <c r="C35" s="62" t="s">
        <v>513</v>
      </c>
      <c r="D35" s="156">
        <f>Enquiry!$E$74</f>
        <v>0</v>
      </c>
      <c r="E35" s="96"/>
      <c r="F35" s="156">
        <f>Enquiry!$E$75</f>
        <v>0</v>
      </c>
      <c r="G35" s="156">
        <f>Enquiry!$E$76</f>
        <v>0</v>
      </c>
      <c r="H35" s="156">
        <f>Enquiry!$E$77</f>
        <v>0</v>
      </c>
      <c r="I35" s="134"/>
      <c r="J35" s="155"/>
      <c r="K35" s="1"/>
      <c r="L35" s="151"/>
      <c r="M35" s="147"/>
      <c r="P35" s="81"/>
      <c r="Q35" s="44"/>
      <c r="R35" s="72"/>
      <c r="T35" s="76"/>
    </row>
    <row r="36" spans="2:20" ht="6" customHeight="1" thickBot="1" x14ac:dyDescent="0.3">
      <c r="B36" s="137"/>
      <c r="C36" s="62"/>
      <c r="D36" s="96"/>
      <c r="E36" s="96"/>
      <c r="F36" s="96"/>
      <c r="G36" s="96"/>
      <c r="H36" s="96"/>
      <c r="I36" s="134"/>
      <c r="J36" s="155"/>
      <c r="K36" s="1"/>
      <c r="L36" s="151"/>
      <c r="M36" s="147"/>
      <c r="P36" s="81"/>
      <c r="Q36" s="44"/>
      <c r="R36" s="72"/>
      <c r="T36" s="76"/>
    </row>
    <row r="37" spans="2:20" ht="15.75" thickBot="1" x14ac:dyDescent="0.3">
      <c r="B37" s="137"/>
      <c r="C37" s="62" t="s">
        <v>281</v>
      </c>
      <c r="D37" s="148">
        <f>Enquiry!F80</f>
        <v>0</v>
      </c>
      <c r="E37" s="96"/>
      <c r="F37" s="148">
        <f>Enquiry!K80</f>
        <v>0</v>
      </c>
      <c r="G37" s="148">
        <f>+Enquiry!P80</f>
        <v>0</v>
      </c>
      <c r="H37" s="148">
        <f>+Enquiry!U80</f>
        <v>0</v>
      </c>
      <c r="I37" s="134"/>
      <c r="J37" s="155"/>
      <c r="K37" s="1"/>
      <c r="L37" s="151"/>
      <c r="M37" s="147"/>
      <c r="P37" s="81"/>
      <c r="Q37" s="44"/>
      <c r="R37" s="72"/>
      <c r="T37" s="76"/>
    </row>
    <row r="38" spans="2:20" ht="6" customHeight="1" x14ac:dyDescent="0.25">
      <c r="B38" s="137"/>
      <c r="C38" s="62"/>
      <c r="D38" s="96"/>
      <c r="E38" s="96"/>
      <c r="F38" s="96"/>
      <c r="G38" s="96"/>
      <c r="H38" s="96"/>
      <c r="I38" s="134"/>
      <c r="J38" s="155"/>
      <c r="K38" s="1"/>
      <c r="L38" s="151"/>
      <c r="M38" s="147"/>
      <c r="P38" s="81"/>
      <c r="Q38" s="44"/>
      <c r="R38" s="72"/>
      <c r="T38" s="76"/>
    </row>
    <row r="39" spans="2:20" ht="23.25" x14ac:dyDescent="0.35">
      <c r="B39" s="154" t="s">
        <v>512</v>
      </c>
      <c r="E39" s="96"/>
      <c r="I39" s="134"/>
      <c r="J39" s="147"/>
      <c r="K39" s="1"/>
      <c r="L39" s="151"/>
      <c r="M39" s="147"/>
      <c r="P39" s="81"/>
      <c r="Q39" s="44"/>
      <c r="R39" s="72"/>
      <c r="T39" s="76"/>
    </row>
    <row r="40" spans="2:20" ht="6" customHeight="1" thickBot="1" x14ac:dyDescent="0.3">
      <c r="B40" s="137"/>
      <c r="E40" s="96"/>
      <c r="I40" s="134"/>
      <c r="J40" s="147"/>
      <c r="K40" s="1"/>
      <c r="L40" s="151"/>
      <c r="M40" s="147"/>
      <c r="P40" s="81"/>
      <c r="Q40" s="44"/>
      <c r="R40" s="72"/>
      <c r="T40" s="76"/>
    </row>
    <row r="41" spans="2:20" ht="15.75" thickBot="1" x14ac:dyDescent="0.3">
      <c r="B41" s="150" t="s">
        <v>511</v>
      </c>
      <c r="C41" s="62" t="s">
        <v>510</v>
      </c>
      <c r="D41" s="148">
        <f>Enquiry!G90</f>
        <v>0</v>
      </c>
      <c r="E41" s="96"/>
      <c r="F41" s="148">
        <f>Enquiry!G96</f>
        <v>0</v>
      </c>
      <c r="G41" s="148">
        <f>Enquiry!G102</f>
        <v>0</v>
      </c>
      <c r="H41" s="148">
        <f>Enquiry!G108</f>
        <v>0</v>
      </c>
      <c r="I41" s="134"/>
      <c r="J41" s="153" t="s">
        <v>509</v>
      </c>
      <c r="K41" s="152">
        <f>SUM(K27:K33)</f>
        <v>0</v>
      </c>
      <c r="L41" s="151"/>
      <c r="M41" s="147"/>
      <c r="P41" s="81"/>
      <c r="Q41" s="44"/>
      <c r="R41" s="72"/>
      <c r="T41" s="76"/>
    </row>
    <row r="42" spans="2:20" ht="6" customHeight="1" thickBot="1" x14ac:dyDescent="0.3">
      <c r="B42" s="150"/>
      <c r="C42" s="72"/>
      <c r="D42" s="72"/>
      <c r="E42" s="72"/>
      <c r="F42" s="72"/>
      <c r="G42" s="72"/>
      <c r="H42" s="72"/>
      <c r="I42" s="134"/>
      <c r="J42" s="144"/>
      <c r="K42" s="144"/>
      <c r="L42" s="145"/>
      <c r="M42" s="144"/>
      <c r="N42" s="131"/>
      <c r="P42" s="81"/>
      <c r="Q42" s="44"/>
      <c r="R42" s="72"/>
      <c r="T42" s="76"/>
    </row>
    <row r="43" spans="2:20" ht="15.75" thickBot="1" x14ac:dyDescent="0.3">
      <c r="B43" s="149" t="s">
        <v>508</v>
      </c>
      <c r="D43" s="148">
        <f>Enquiry!S89</f>
        <v>0</v>
      </c>
      <c r="E43" s="96"/>
      <c r="F43" s="148">
        <f>Enquiry!S95</f>
        <v>0</v>
      </c>
      <c r="G43" s="148">
        <f>Enquiry!S101</f>
        <v>0</v>
      </c>
      <c r="H43" s="148">
        <f>Enquiry!S107</f>
        <v>0</v>
      </c>
      <c r="I43" s="134"/>
      <c r="J43" s="144"/>
      <c r="K43" s="144"/>
      <c r="L43" s="145"/>
      <c r="M43" s="144"/>
      <c r="N43" s="131"/>
      <c r="P43" s="81"/>
      <c r="Q43" s="44"/>
      <c r="R43" s="72"/>
      <c r="T43" s="76"/>
    </row>
    <row r="44" spans="2:20" ht="6" customHeight="1" thickBot="1" x14ac:dyDescent="0.3">
      <c r="B44" s="137"/>
      <c r="I44" s="134"/>
      <c r="J44" s="144"/>
      <c r="K44" s="144"/>
      <c r="L44" s="145"/>
      <c r="M44" s="144"/>
      <c r="N44" s="131"/>
      <c r="P44" s="81"/>
      <c r="Q44" s="44"/>
      <c r="R44" s="72"/>
      <c r="T44" s="76"/>
    </row>
    <row r="45" spans="2:20" ht="15.75" thickBot="1" x14ac:dyDescent="0.3">
      <c r="B45" s="137"/>
      <c r="C45" s="62" t="s">
        <v>507</v>
      </c>
      <c r="D45" s="138">
        <f>Enquiry!G91</f>
        <v>0</v>
      </c>
      <c r="F45" s="138">
        <f>Enquiry!G97</f>
        <v>0</v>
      </c>
      <c r="G45" s="138">
        <f>Enquiry!G103</f>
        <v>0</v>
      </c>
      <c r="H45" s="138">
        <f>Enquiry!G109</f>
        <v>0</v>
      </c>
      <c r="I45" s="134"/>
      <c r="J45" s="147"/>
      <c r="K45" s="146"/>
      <c r="L45" s="145"/>
      <c r="M45" s="144"/>
      <c r="N45" s="131"/>
      <c r="P45" s="81"/>
      <c r="Q45" s="44"/>
      <c r="R45" s="72"/>
      <c r="T45" s="76"/>
    </row>
    <row r="46" spans="2:20" ht="6" customHeight="1" thickBot="1" x14ac:dyDescent="0.3">
      <c r="B46" s="137"/>
      <c r="C46" s="62"/>
      <c r="I46" s="134"/>
      <c r="J46" s="144"/>
      <c r="K46" s="144"/>
      <c r="L46" s="145"/>
      <c r="M46" s="144"/>
      <c r="N46" s="131"/>
      <c r="P46" s="81"/>
      <c r="Q46" s="44"/>
      <c r="R46" s="72"/>
      <c r="T46" s="76"/>
    </row>
    <row r="47" spans="2:20" ht="15.75" thickBot="1" x14ac:dyDescent="0.3">
      <c r="B47" s="137"/>
      <c r="C47" s="62" t="s">
        <v>506</v>
      </c>
      <c r="D47" s="138">
        <f>Enquiry!S92</f>
        <v>0</v>
      </c>
      <c r="F47" s="138">
        <f>Enquiry!S98</f>
        <v>0</v>
      </c>
      <c r="G47" s="138">
        <f>Enquiry!S104</f>
        <v>0</v>
      </c>
      <c r="H47" s="138">
        <f>Enquiry!S110</f>
        <v>0</v>
      </c>
      <c r="I47" s="134"/>
      <c r="J47" s="131"/>
      <c r="K47" s="131"/>
      <c r="L47" s="133"/>
      <c r="M47" s="131"/>
      <c r="N47" s="131"/>
      <c r="P47" s="81"/>
      <c r="Q47" s="44"/>
      <c r="R47" s="72"/>
      <c r="T47" s="76"/>
    </row>
    <row r="48" spans="2:20" ht="6" customHeight="1" thickBot="1" x14ac:dyDescent="0.3">
      <c r="B48" s="137"/>
      <c r="C48" s="62"/>
      <c r="I48" s="134"/>
      <c r="J48" s="131"/>
      <c r="K48" s="131"/>
      <c r="L48" s="133"/>
      <c r="M48" s="131"/>
      <c r="N48" s="131"/>
      <c r="P48" s="81"/>
      <c r="Q48" s="44"/>
      <c r="R48" s="72"/>
      <c r="T48" s="76"/>
    </row>
    <row r="49" spans="2:20" ht="15.75" thickBot="1" x14ac:dyDescent="0.3">
      <c r="B49" s="137"/>
      <c r="C49" s="62" t="s">
        <v>505</v>
      </c>
      <c r="D49" s="139"/>
      <c r="F49" s="138"/>
      <c r="G49" s="138"/>
      <c r="H49" s="138"/>
      <c r="I49" s="134"/>
      <c r="J49" s="131"/>
      <c r="K49" s="131"/>
      <c r="L49" s="133"/>
      <c r="M49" s="131"/>
      <c r="N49" s="131"/>
      <c r="P49" s="81"/>
      <c r="Q49" s="44"/>
      <c r="R49" s="72"/>
      <c r="T49" s="76"/>
    </row>
    <row r="50" spans="2:20" ht="6" customHeight="1" thickBot="1" x14ac:dyDescent="0.3">
      <c r="B50" s="137"/>
      <c r="C50" s="62"/>
      <c r="D50" s="143"/>
      <c r="F50" s="142"/>
      <c r="G50" s="142"/>
      <c r="H50" s="142"/>
      <c r="I50" s="134"/>
      <c r="J50" s="131"/>
      <c r="K50" s="131"/>
      <c r="L50" s="133"/>
      <c r="M50" s="131"/>
      <c r="N50" s="131"/>
      <c r="P50" s="81"/>
      <c r="Q50" s="44"/>
      <c r="R50" s="72"/>
      <c r="T50" s="76"/>
    </row>
    <row r="51" spans="2:20" ht="15.75" customHeight="1" thickBot="1" x14ac:dyDescent="0.3">
      <c r="B51" s="137"/>
      <c r="C51" s="62" t="s">
        <v>504</v>
      </c>
      <c r="D51" s="139"/>
      <c r="F51" s="138"/>
      <c r="G51" s="138"/>
      <c r="H51" s="138"/>
      <c r="I51" s="134"/>
      <c r="J51" s="131"/>
      <c r="K51" s="131"/>
      <c r="L51" s="133"/>
      <c r="M51" s="131"/>
      <c r="N51" s="131"/>
      <c r="P51" s="140"/>
      <c r="Q51" s="44"/>
      <c r="R51" s="72"/>
      <c r="T51" s="76"/>
    </row>
    <row r="52" spans="2:20" ht="6" customHeight="1" thickBot="1" x14ac:dyDescent="0.3">
      <c r="B52" s="137"/>
      <c r="C52" s="62"/>
      <c r="D52" s="143"/>
      <c r="F52" s="142"/>
      <c r="G52" s="142"/>
      <c r="H52" s="142"/>
      <c r="I52" s="134"/>
      <c r="J52" s="131"/>
      <c r="K52" s="131"/>
      <c r="L52" s="133"/>
      <c r="M52" s="131"/>
      <c r="N52" s="131"/>
      <c r="P52" s="140"/>
      <c r="Q52" s="44"/>
      <c r="R52" s="72"/>
      <c r="T52" s="76"/>
    </row>
    <row r="53" spans="2:20" ht="15.75" thickBot="1" x14ac:dyDescent="0.3">
      <c r="B53" s="137"/>
      <c r="C53" s="62" t="s">
        <v>503</v>
      </c>
      <c r="D53" s="139">
        <f>Enquiry!S91</f>
        <v>0</v>
      </c>
      <c r="F53" s="138">
        <f>Enquiry!S97</f>
        <v>0</v>
      </c>
      <c r="G53" s="138">
        <f>Enquiry!S103</f>
        <v>0</v>
      </c>
      <c r="H53" s="138">
        <f>Enquiry!S109</f>
        <v>0</v>
      </c>
      <c r="I53" s="134"/>
      <c r="J53" s="131"/>
      <c r="K53" s="141"/>
      <c r="L53" s="133"/>
      <c r="M53" s="131"/>
      <c r="N53" s="131"/>
      <c r="P53" s="140"/>
      <c r="Q53" s="44"/>
      <c r="R53" s="72"/>
      <c r="T53" s="76"/>
    </row>
    <row r="54" spans="2:20" ht="6" customHeight="1" thickBot="1" x14ac:dyDescent="0.3">
      <c r="B54" s="137"/>
      <c r="C54" s="62"/>
      <c r="D54" s="136"/>
      <c r="F54" s="135"/>
      <c r="G54" s="135"/>
      <c r="H54" s="135"/>
      <c r="I54" s="134"/>
      <c r="J54" s="131"/>
      <c r="K54" s="131"/>
      <c r="L54" s="133"/>
      <c r="M54" s="131"/>
      <c r="N54" s="131"/>
      <c r="P54" s="81"/>
      <c r="Q54" s="44"/>
      <c r="R54" s="72"/>
      <c r="T54" s="76"/>
    </row>
    <row r="55" spans="2:20" ht="15.75" thickBot="1" x14ac:dyDescent="0.3">
      <c r="B55" s="137"/>
      <c r="C55" s="62" t="s">
        <v>502</v>
      </c>
      <c r="D55" s="139">
        <f>Enquiry!G92</f>
        <v>0</v>
      </c>
      <c r="F55" s="138">
        <f>Enquiry!G98</f>
        <v>0</v>
      </c>
      <c r="G55" s="138">
        <f>Enquiry!G104</f>
        <v>0</v>
      </c>
      <c r="H55" s="138">
        <f>Enquiry!G110</f>
        <v>0</v>
      </c>
      <c r="I55" s="134"/>
      <c r="J55" s="131"/>
      <c r="K55" s="131"/>
      <c r="L55" s="133"/>
      <c r="M55" s="131"/>
      <c r="N55" s="131"/>
      <c r="P55" s="81"/>
      <c r="Q55" s="44"/>
      <c r="R55" s="72"/>
      <c r="T55" s="76"/>
    </row>
    <row r="56" spans="2:20" ht="15.75" customHeight="1" x14ac:dyDescent="0.25">
      <c r="B56" s="137"/>
      <c r="C56" s="62"/>
      <c r="D56" s="136"/>
      <c r="F56" s="135"/>
      <c r="G56" s="135"/>
      <c r="H56" s="135"/>
      <c r="I56" s="134"/>
      <c r="J56" s="131"/>
      <c r="K56" s="131"/>
      <c r="L56" s="133"/>
      <c r="M56" s="131"/>
      <c r="N56" s="131"/>
      <c r="P56" s="81"/>
      <c r="Q56" s="44"/>
      <c r="R56" s="72"/>
      <c r="T56" s="76"/>
    </row>
    <row r="57" spans="2:20" ht="21" customHeight="1" x14ac:dyDescent="0.35">
      <c r="B57" s="132"/>
      <c r="C57" s="130"/>
      <c r="D57" s="129"/>
      <c r="E57" s="1"/>
      <c r="F57" s="128"/>
      <c r="G57" s="128"/>
      <c r="H57" s="128"/>
      <c r="I57" s="127"/>
      <c r="J57" s="197"/>
      <c r="K57" s="197"/>
      <c r="L57" s="198"/>
      <c r="M57" s="197"/>
      <c r="N57" s="131"/>
      <c r="P57" s="81"/>
      <c r="Q57" s="44"/>
      <c r="R57" s="72"/>
      <c r="T57" s="76"/>
    </row>
    <row r="58" spans="2:20" s="72" customFormat="1" ht="15.75" customHeight="1" x14ac:dyDescent="0.25">
      <c r="B58" s="120"/>
      <c r="C58" s="130"/>
      <c r="D58" s="129"/>
      <c r="E58" s="1"/>
      <c r="F58" s="128"/>
      <c r="G58" s="128"/>
      <c r="H58" s="128"/>
      <c r="I58" s="127"/>
      <c r="J58" s="44"/>
      <c r="K58" s="44"/>
      <c r="L58" s="47"/>
      <c r="M58" s="44"/>
      <c r="N58" s="82"/>
      <c r="O58" s="82"/>
      <c r="P58" s="81"/>
      <c r="Q58" s="44"/>
    </row>
    <row r="59" spans="2:20" ht="15.75" customHeight="1" x14ac:dyDescent="0.25">
      <c r="B59" s="120"/>
      <c r="C59" s="1"/>
      <c r="D59" s="1"/>
      <c r="E59" s="1"/>
      <c r="F59" s="1"/>
      <c r="G59" s="1"/>
      <c r="H59" s="1"/>
      <c r="I59" s="116"/>
      <c r="J59" s="44"/>
      <c r="K59" s="44"/>
      <c r="L59" s="47"/>
      <c r="M59" s="44"/>
      <c r="P59" s="81"/>
      <c r="Q59" s="44"/>
      <c r="R59" s="72"/>
      <c r="T59" s="76"/>
    </row>
    <row r="60" spans="2:20" ht="15.75" customHeight="1" x14ac:dyDescent="0.25">
      <c r="B60" s="120"/>
      <c r="C60" s="119" t="s">
        <v>501</v>
      </c>
      <c r="D60" s="126">
        <f>INDEX($K$27:$K$33,MATCH(LARGE($M$27:$M$33,3),$M$27:$M$33,0))+INDEX($K$27:$K$33,MATCH(LARGE($M$27:$M$33,4),$M$27:$M$33,0))+(LARGE($M$27:$M$33,1)+LARGE($M$27:$M$33,2))</f>
        <v>0</v>
      </c>
      <c r="E60" s="1"/>
      <c r="F60" s="1"/>
      <c r="G60" s="1"/>
      <c r="H60" s="1"/>
      <c r="I60" s="116"/>
      <c r="J60" s="44"/>
      <c r="K60" s="44"/>
      <c r="L60" s="47"/>
      <c r="M60" s="44"/>
      <c r="P60" s="81"/>
      <c r="Q60" s="44"/>
      <c r="R60" s="72"/>
      <c r="T60" s="76"/>
    </row>
    <row r="61" spans="2:20" ht="28.5" x14ac:dyDescent="0.45">
      <c r="B61" s="120"/>
      <c r="C61" s="119"/>
      <c r="D61" s="125"/>
      <c r="E61" s="1"/>
      <c r="F61" s="1"/>
      <c r="G61" s="1"/>
      <c r="H61" s="1"/>
      <c r="I61" s="116"/>
      <c r="J61" s="44"/>
      <c r="K61" s="44"/>
      <c r="L61" s="47"/>
      <c r="M61" s="44"/>
      <c r="P61" s="81"/>
      <c r="Q61" s="44"/>
      <c r="R61" s="72"/>
      <c r="T61" s="76"/>
    </row>
    <row r="62" spans="2:20" ht="15.75" customHeight="1" x14ac:dyDescent="0.25">
      <c r="B62" s="120"/>
      <c r="C62" s="119" t="s">
        <v>289</v>
      </c>
      <c r="D62" s="123" t="e">
        <f>'Mortgage Repayments (E)'!J15</f>
        <v>#N/A</v>
      </c>
      <c r="E62" s="1"/>
      <c r="F62" s="1"/>
      <c r="G62" s="1"/>
      <c r="H62" s="1"/>
      <c r="I62" s="116"/>
      <c r="J62" s="44"/>
      <c r="K62" s="44"/>
      <c r="L62" s="47"/>
      <c r="M62" s="44"/>
      <c r="P62" s="81"/>
      <c r="Q62" s="44"/>
      <c r="R62" s="72"/>
      <c r="T62" s="76"/>
    </row>
    <row r="63" spans="2:20" ht="15.75" customHeight="1" x14ac:dyDescent="0.25">
      <c r="B63" s="120"/>
      <c r="C63" s="119" t="s">
        <v>183</v>
      </c>
      <c r="D63" s="124" t="e">
        <f>($D$37+$F$37+G37+H37)-((D66+((D43+F43+G43+H43)*3%)+(D41+D45+D47+D49+D51+D53+D55+F41+F45+F47+F49+F51+F53+F55+D65+G41+G45+G47+G49+G51+G53+G55+H41+H45+H47+H49+H51+H53+H55)))</f>
        <v>#N/A</v>
      </c>
      <c r="E63" s="1"/>
      <c r="F63" s="122" t="e">
        <f>IF(D63&gt;=((D37+F37+G37+H37)*5%), "Pass", "Decline")</f>
        <v>#N/A</v>
      </c>
      <c r="G63" s="122"/>
      <c r="H63" s="122"/>
      <c r="I63" s="116"/>
      <c r="J63" s="44"/>
      <c r="K63" s="44"/>
      <c r="L63" s="47"/>
      <c r="M63" s="44"/>
      <c r="P63" s="81"/>
      <c r="Q63" s="44"/>
      <c r="R63" s="72"/>
      <c r="T63" s="76"/>
    </row>
    <row r="64" spans="2:20" ht="15.75" customHeight="1" x14ac:dyDescent="0.25">
      <c r="B64" s="120"/>
      <c r="C64" s="119" t="s">
        <v>293</v>
      </c>
      <c r="D64" s="123" t="e">
        <f>D63/(D37+F37+G37+H37)</f>
        <v>#N/A</v>
      </c>
      <c r="E64" s="122"/>
      <c r="F64" s="1"/>
      <c r="G64" s="1"/>
      <c r="H64" s="1"/>
      <c r="I64" s="116"/>
      <c r="J64" s="44"/>
      <c r="K64" s="44"/>
      <c r="L64" s="47"/>
      <c r="M64" s="44"/>
      <c r="P64" s="81"/>
      <c r="Q64" s="44"/>
      <c r="R64" s="72"/>
      <c r="T64" s="76"/>
    </row>
    <row r="65" spans="2:20" ht="15.75" customHeight="1" x14ac:dyDescent="0.25">
      <c r="B65" s="120"/>
      <c r="C65" s="119" t="s">
        <v>291</v>
      </c>
      <c r="D65" s="117" t="e">
        <f>'Mortgage Repayments (E)'!J4</f>
        <v>#N/A</v>
      </c>
      <c r="E65" s="121"/>
      <c r="F65" s="1"/>
      <c r="G65" s="1"/>
      <c r="H65" s="1"/>
      <c r="I65" s="116"/>
      <c r="J65" s="44"/>
      <c r="K65" s="44"/>
      <c r="L65" s="47"/>
      <c r="M65" s="44"/>
      <c r="P65" s="81"/>
      <c r="Q65" s="44"/>
      <c r="R65" s="72"/>
      <c r="T65" s="76"/>
    </row>
    <row r="66" spans="2:20" ht="15.75" customHeight="1" x14ac:dyDescent="0.25">
      <c r="B66" s="120"/>
      <c r="C66" s="119" t="s">
        <v>500</v>
      </c>
      <c r="D66" s="118">
        <f>Enquiry!$AA$34</f>
        <v>0</v>
      </c>
      <c r="E66" s="117"/>
      <c r="F66" s="1"/>
      <c r="G66" s="1"/>
      <c r="H66" s="1"/>
      <c r="I66" s="116"/>
      <c r="J66" s="44"/>
      <c r="K66" s="44"/>
      <c r="L66" s="47"/>
      <c r="M66" s="44"/>
      <c r="P66" s="81"/>
      <c r="Q66" s="44"/>
      <c r="R66" s="72"/>
      <c r="T66" s="76"/>
    </row>
    <row r="67" spans="2:20" ht="15.75" customHeight="1" thickBot="1" x14ac:dyDescent="0.3">
      <c r="B67" s="115"/>
      <c r="C67" s="114"/>
      <c r="D67" s="114"/>
      <c r="E67" s="114"/>
      <c r="F67" s="114"/>
      <c r="G67" s="114"/>
      <c r="H67" s="114"/>
      <c r="I67" s="113"/>
      <c r="L67" s="82"/>
      <c r="P67" s="81"/>
      <c r="Q67" s="44"/>
      <c r="R67" s="72"/>
      <c r="T67" s="76"/>
    </row>
    <row r="68" spans="2:20" ht="6" customHeight="1" x14ac:dyDescent="0.25">
      <c r="E68" s="112"/>
      <c r="L68" s="82"/>
      <c r="P68" s="81"/>
      <c r="Q68" s="44"/>
      <c r="R68" s="72"/>
      <c r="T68" s="76"/>
    </row>
    <row r="69" spans="2:20" ht="15" customHeight="1" x14ac:dyDescent="0.25">
      <c r="B69" s="770"/>
      <c r="C69" s="771"/>
      <c r="D69" s="771"/>
      <c r="E69" s="771"/>
      <c r="F69" s="771"/>
      <c r="G69" s="771"/>
      <c r="H69" s="771"/>
      <c r="I69" s="772"/>
      <c r="L69" s="82"/>
      <c r="P69" s="81"/>
      <c r="Q69" s="44"/>
      <c r="R69" s="72"/>
      <c r="T69" s="76"/>
    </row>
    <row r="70" spans="2:20" x14ac:dyDescent="0.25">
      <c r="B70" s="771"/>
      <c r="C70" s="771"/>
      <c r="D70" s="771"/>
      <c r="E70" s="771"/>
      <c r="F70" s="771"/>
      <c r="G70" s="771"/>
      <c r="H70" s="771"/>
      <c r="I70" s="772"/>
      <c r="L70" s="82"/>
      <c r="P70" s="81"/>
      <c r="Q70" s="44"/>
      <c r="R70" s="72"/>
      <c r="T70" s="76"/>
    </row>
    <row r="71" spans="2:20" ht="15.75" customHeight="1" x14ac:dyDescent="0.25">
      <c r="B71" s="771"/>
      <c r="C71" s="771"/>
      <c r="D71" s="771"/>
      <c r="E71" s="771"/>
      <c r="F71" s="771"/>
      <c r="G71" s="771"/>
      <c r="H71" s="771"/>
      <c r="I71" s="772"/>
      <c r="L71" s="82"/>
      <c r="P71" s="81"/>
      <c r="Q71" s="44"/>
      <c r="R71" s="72"/>
      <c r="T71" s="76"/>
    </row>
    <row r="72" spans="2:20" ht="15.75" customHeight="1" x14ac:dyDescent="0.25">
      <c r="B72" s="771"/>
      <c r="C72" s="771"/>
      <c r="D72" s="771"/>
      <c r="E72" s="771"/>
      <c r="F72" s="771"/>
      <c r="G72" s="771"/>
      <c r="H72" s="771"/>
      <c r="I72" s="772"/>
      <c r="L72" s="82"/>
      <c r="P72" s="81"/>
      <c r="Q72" s="44"/>
      <c r="R72" s="72"/>
      <c r="T72" s="76"/>
    </row>
    <row r="73" spans="2:20" ht="15.75" customHeight="1" x14ac:dyDescent="0.25">
      <c r="L73" s="82"/>
      <c r="P73" s="81"/>
      <c r="Q73" s="44"/>
      <c r="R73" s="72"/>
      <c r="T73" s="76"/>
    </row>
    <row r="74" spans="2:20" x14ac:dyDescent="0.25">
      <c r="C74" s="62"/>
      <c r="D74" s="110"/>
      <c r="L74" s="82"/>
      <c r="P74" s="81"/>
      <c r="Q74" s="44"/>
      <c r="R74" s="72"/>
      <c r="T74" s="76"/>
    </row>
    <row r="75" spans="2:20" ht="6" customHeight="1" x14ac:dyDescent="0.25">
      <c r="C75" s="62"/>
      <c r="D75" s="111"/>
      <c r="L75" s="82"/>
      <c r="P75" s="81"/>
      <c r="Q75" s="44"/>
      <c r="R75" s="72"/>
      <c r="T75" s="76"/>
    </row>
    <row r="76" spans="2:20" ht="15.75" customHeight="1" x14ac:dyDescent="0.25">
      <c r="C76" s="62"/>
      <c r="D76" s="110"/>
      <c r="L76" s="82"/>
    </row>
    <row r="77" spans="2:20" ht="6" customHeight="1" x14ac:dyDescent="0.25">
      <c r="C77" s="62"/>
      <c r="D77" s="111"/>
      <c r="E77" s="96"/>
      <c r="F77" s="96"/>
      <c r="G77" s="96"/>
      <c r="H77" s="96"/>
      <c r="I77" s="96"/>
    </row>
    <row r="78" spans="2:20" ht="15.75" customHeight="1" x14ac:dyDescent="0.25">
      <c r="C78" s="62"/>
      <c r="D78" s="110"/>
      <c r="E78" s="96"/>
      <c r="F78" s="96"/>
      <c r="G78" s="96"/>
      <c r="H78" s="96"/>
      <c r="I78" s="96"/>
    </row>
    <row r="79" spans="2:20" ht="15.75" customHeight="1" x14ac:dyDescent="0.25">
      <c r="C79" s="62"/>
      <c r="D79" s="96"/>
      <c r="E79" s="96"/>
      <c r="F79" s="96"/>
      <c r="G79" s="96"/>
      <c r="H79" s="96"/>
      <c r="I79" s="96"/>
    </row>
    <row r="80" spans="2:20" ht="15.75" customHeight="1" x14ac:dyDescent="0.25">
      <c r="C80" s="62"/>
      <c r="D80" s="109"/>
      <c r="E80" s="96"/>
      <c r="F80" s="96"/>
      <c r="G80" s="96"/>
      <c r="H80" s="96"/>
      <c r="I80" s="96"/>
    </row>
    <row r="81" spans="2:20" ht="15.75" customHeight="1" x14ac:dyDescent="0.25">
      <c r="C81" s="62"/>
      <c r="D81" s="109"/>
      <c r="E81" s="96"/>
      <c r="F81" s="96"/>
      <c r="G81" s="96"/>
      <c r="H81" s="96"/>
      <c r="I81" s="96"/>
    </row>
    <row r="82" spans="2:20" ht="15.75" customHeight="1" x14ac:dyDescent="0.25">
      <c r="B82" s="72">
        <v>1</v>
      </c>
      <c r="C82" s="62"/>
      <c r="D82" s="96"/>
      <c r="E82" s="96"/>
      <c r="F82" s="96"/>
      <c r="G82" s="96"/>
      <c r="H82" s="96"/>
      <c r="I82" s="96"/>
    </row>
    <row r="83" spans="2:20" ht="15.75" customHeight="1" x14ac:dyDescent="0.25">
      <c r="B83" s="72">
        <v>2</v>
      </c>
      <c r="C83" s="62"/>
      <c r="D83" s="96"/>
      <c r="E83" s="96"/>
      <c r="F83" s="96"/>
      <c r="G83" s="96"/>
      <c r="H83" s="96"/>
      <c r="I83" s="96"/>
    </row>
    <row r="84" spans="2:20" ht="15.75" customHeight="1" x14ac:dyDescent="0.25">
      <c r="B84" s="72">
        <v>3</v>
      </c>
      <c r="C84" s="62"/>
      <c r="D84" s="96"/>
      <c r="E84" s="96"/>
      <c r="F84" s="96"/>
      <c r="G84" s="96"/>
      <c r="H84" s="96"/>
      <c r="I84" s="96"/>
    </row>
    <row r="85" spans="2:20" ht="15.75" customHeight="1" x14ac:dyDescent="0.25">
      <c r="C85" s="62"/>
      <c r="D85" s="96"/>
      <c r="E85" s="96"/>
      <c r="F85" s="96"/>
      <c r="G85" s="96"/>
      <c r="H85" s="96"/>
      <c r="I85" s="96"/>
    </row>
    <row r="86" spans="2:20" ht="15.75" customHeight="1" x14ac:dyDescent="0.25">
      <c r="C86" s="102"/>
      <c r="D86" s="96"/>
      <c r="E86" s="96"/>
      <c r="F86" s="96"/>
      <c r="G86" s="96"/>
      <c r="H86" s="96"/>
      <c r="I86" s="96"/>
      <c r="J86" s="108"/>
    </row>
    <row r="87" spans="2:20" ht="15.75" customHeight="1" x14ac:dyDescent="0.25">
      <c r="C87" s="102"/>
      <c r="D87" s="96"/>
      <c r="E87" s="96"/>
      <c r="F87" s="96"/>
      <c r="G87" s="96"/>
      <c r="H87" s="96"/>
      <c r="I87" s="96"/>
    </row>
    <row r="88" spans="2:20" ht="15.75" customHeight="1" x14ac:dyDescent="0.35">
      <c r="C88" s="102"/>
      <c r="D88" s="96"/>
      <c r="E88" s="96"/>
      <c r="F88" s="96"/>
      <c r="G88" s="96"/>
      <c r="H88" s="96"/>
      <c r="I88" s="96"/>
      <c r="L88" s="107"/>
      <c r="N88" s="766"/>
      <c r="O88" s="766"/>
    </row>
    <row r="89" spans="2:20" ht="15.75" customHeight="1" x14ac:dyDescent="0.25">
      <c r="C89" s="62"/>
      <c r="D89" s="96"/>
      <c r="E89" s="96"/>
      <c r="F89" s="96"/>
      <c r="G89" s="96"/>
      <c r="H89" s="96"/>
      <c r="I89" s="96"/>
      <c r="L89" s="106"/>
      <c r="N89" s="766"/>
      <c r="O89" s="766"/>
      <c r="R89" s="105"/>
      <c r="S89" s="82"/>
      <c r="T89" s="82"/>
    </row>
    <row r="90" spans="2:20" ht="15.75" customHeight="1" x14ac:dyDescent="0.25">
      <c r="C90" s="62"/>
      <c r="D90" s="96"/>
      <c r="E90" s="96"/>
      <c r="F90" s="96"/>
      <c r="G90" s="96"/>
      <c r="H90" s="96"/>
      <c r="I90" s="96"/>
      <c r="R90" s="82"/>
      <c r="S90" s="82"/>
      <c r="T90" s="82"/>
    </row>
    <row r="91" spans="2:20" ht="15.75" customHeight="1" x14ac:dyDescent="0.25">
      <c r="C91" s="62"/>
      <c r="D91" s="96"/>
      <c r="E91" s="96"/>
      <c r="F91" s="96"/>
      <c r="G91" s="96"/>
      <c r="H91" s="96"/>
      <c r="I91" s="96"/>
      <c r="J91" s="100"/>
      <c r="L91" s="95"/>
      <c r="N91" s="93"/>
      <c r="R91" s="82"/>
      <c r="S91" s="82"/>
      <c r="T91" s="82"/>
    </row>
    <row r="92" spans="2:20" ht="15.75" customHeight="1" x14ac:dyDescent="0.25">
      <c r="C92" s="62"/>
      <c r="D92" s="96"/>
      <c r="E92" s="96"/>
      <c r="F92" s="96"/>
      <c r="G92" s="96"/>
      <c r="H92" s="96"/>
      <c r="I92" s="96"/>
      <c r="J92" s="100"/>
      <c r="L92" s="94"/>
      <c r="N92" s="93"/>
      <c r="R92" s="82"/>
      <c r="S92" s="82"/>
      <c r="T92" s="82"/>
    </row>
    <row r="93" spans="2:20" ht="15.75" customHeight="1" x14ac:dyDescent="0.25">
      <c r="C93" s="102"/>
      <c r="D93" s="96"/>
      <c r="E93" s="96"/>
      <c r="F93" s="96"/>
      <c r="G93" s="96"/>
      <c r="H93" s="96"/>
      <c r="I93" s="96"/>
      <c r="L93" s="94"/>
      <c r="N93" s="93"/>
      <c r="R93" s="82"/>
      <c r="S93" s="82"/>
      <c r="T93" s="82"/>
    </row>
    <row r="94" spans="2:20" ht="15.75" customHeight="1" x14ac:dyDescent="0.25">
      <c r="C94" s="62"/>
      <c r="D94" s="96"/>
      <c r="E94" s="96"/>
      <c r="F94" s="96"/>
      <c r="G94" s="96"/>
      <c r="H94" s="96"/>
      <c r="I94" s="96"/>
      <c r="L94" s="94"/>
      <c r="N94" s="93"/>
      <c r="R94" s="82"/>
      <c r="S94" s="82"/>
      <c r="T94" s="82"/>
    </row>
    <row r="95" spans="2:20" ht="15.75" customHeight="1" x14ac:dyDescent="0.25">
      <c r="C95" s="102"/>
      <c r="D95" s="96"/>
      <c r="E95" s="96"/>
      <c r="F95" s="96"/>
      <c r="G95" s="96"/>
      <c r="H95" s="96"/>
      <c r="I95" s="96"/>
      <c r="L95" s="94"/>
      <c r="N95" s="93"/>
      <c r="R95" s="82"/>
      <c r="S95" s="82"/>
      <c r="T95" s="82"/>
    </row>
    <row r="96" spans="2:20" ht="15.75" customHeight="1" x14ac:dyDescent="0.25">
      <c r="C96" s="62"/>
      <c r="D96" s="96"/>
      <c r="E96" s="96"/>
      <c r="F96" s="96"/>
      <c r="G96" s="96"/>
      <c r="H96" s="96"/>
      <c r="I96" s="96"/>
      <c r="J96" s="100"/>
      <c r="L96" s="97"/>
      <c r="N96" s="93"/>
      <c r="R96" s="82"/>
      <c r="S96" s="82"/>
      <c r="T96" s="82"/>
    </row>
    <row r="97" spans="3:20" ht="15.75" customHeight="1" x14ac:dyDescent="0.25">
      <c r="C97" s="62"/>
      <c r="D97" s="96"/>
      <c r="E97" s="96"/>
      <c r="F97" s="96"/>
      <c r="G97" s="96"/>
      <c r="H97" s="96"/>
      <c r="I97" s="96"/>
      <c r="L97" s="97"/>
      <c r="N97" s="93"/>
      <c r="R97" s="82"/>
      <c r="S97" s="82"/>
      <c r="T97" s="82"/>
    </row>
    <row r="98" spans="3:20" ht="15.75" customHeight="1" x14ac:dyDescent="0.25">
      <c r="C98" s="62"/>
      <c r="D98" s="96"/>
      <c r="E98" s="96"/>
      <c r="F98" s="96"/>
      <c r="G98" s="96"/>
      <c r="H98" s="96"/>
      <c r="I98" s="96"/>
      <c r="J98" s="100"/>
      <c r="L98" s="95"/>
      <c r="N98" s="93"/>
      <c r="P98" s="104"/>
      <c r="Q98" s="103"/>
      <c r="R98" s="82"/>
      <c r="S98" s="82"/>
      <c r="T98" s="82"/>
    </row>
    <row r="99" spans="3:20" ht="15.75" customHeight="1" x14ac:dyDescent="0.25">
      <c r="C99" s="62"/>
      <c r="D99" s="96"/>
      <c r="E99" s="96"/>
      <c r="F99" s="96"/>
      <c r="G99" s="96"/>
      <c r="H99" s="96"/>
      <c r="I99" s="96"/>
      <c r="L99" s="97"/>
      <c r="N99" s="93"/>
      <c r="R99" s="82"/>
      <c r="S99" s="82"/>
      <c r="T99" s="82"/>
    </row>
    <row r="100" spans="3:20" ht="15.75" customHeight="1" x14ac:dyDescent="0.25">
      <c r="C100" s="62"/>
      <c r="D100" s="96"/>
      <c r="E100" s="96"/>
      <c r="F100" s="96"/>
      <c r="G100" s="96"/>
      <c r="H100" s="96"/>
      <c r="I100" s="96"/>
      <c r="L100" s="97"/>
      <c r="N100" s="93"/>
      <c r="R100" s="82"/>
      <c r="S100" s="82"/>
      <c r="T100" s="82"/>
    </row>
    <row r="101" spans="3:20" ht="15.75" customHeight="1" x14ac:dyDescent="0.25">
      <c r="C101" s="102"/>
      <c r="D101" s="96"/>
      <c r="E101" s="96"/>
      <c r="F101" s="96"/>
      <c r="G101" s="96"/>
      <c r="H101" s="96"/>
      <c r="I101" s="96"/>
      <c r="L101" s="97"/>
      <c r="N101" s="93"/>
      <c r="R101" s="82"/>
      <c r="S101" s="82"/>
      <c r="T101" s="82"/>
    </row>
    <row r="102" spans="3:20" ht="15.75" customHeight="1" x14ac:dyDescent="0.25">
      <c r="C102" s="62"/>
      <c r="L102" s="95"/>
      <c r="N102" s="93"/>
      <c r="R102" s="82"/>
      <c r="S102" s="82"/>
      <c r="T102" s="82"/>
    </row>
    <row r="103" spans="3:20" ht="15.75" customHeight="1" x14ac:dyDescent="0.25">
      <c r="C103" s="62"/>
      <c r="L103" s="94"/>
      <c r="N103" s="93"/>
      <c r="R103" s="82"/>
      <c r="S103" s="82"/>
      <c r="T103" s="82"/>
    </row>
    <row r="104" spans="3:20" ht="15.75" customHeight="1" x14ac:dyDescent="0.25">
      <c r="C104" s="62"/>
      <c r="D104" s="96"/>
      <c r="E104" s="96"/>
      <c r="F104" s="96"/>
      <c r="G104" s="96"/>
      <c r="H104" s="96"/>
      <c r="I104" s="96"/>
      <c r="L104" s="94"/>
      <c r="N104" s="93"/>
      <c r="R104" s="82"/>
      <c r="S104" s="82"/>
      <c r="T104" s="82"/>
    </row>
    <row r="105" spans="3:20" ht="15.75" customHeight="1" x14ac:dyDescent="0.25">
      <c r="C105" s="62"/>
      <c r="D105" s="96"/>
      <c r="E105" s="96"/>
      <c r="F105" s="96"/>
      <c r="G105" s="96"/>
      <c r="H105" s="96"/>
      <c r="I105" s="96"/>
      <c r="L105" s="97"/>
      <c r="N105" s="93"/>
      <c r="R105" s="82"/>
      <c r="S105" s="82"/>
      <c r="T105" s="82"/>
    </row>
    <row r="106" spans="3:20" ht="15.75" customHeight="1" x14ac:dyDescent="0.25">
      <c r="C106" s="62"/>
      <c r="D106" s="101"/>
      <c r="E106" s="96"/>
      <c r="F106" s="96"/>
      <c r="G106" s="96"/>
      <c r="H106" s="96"/>
      <c r="I106" s="96"/>
      <c r="J106" s="100"/>
      <c r="L106" s="97"/>
      <c r="N106" s="93"/>
      <c r="R106" s="82"/>
      <c r="S106" s="82"/>
      <c r="T106" s="82"/>
    </row>
    <row r="107" spans="3:20" x14ac:dyDescent="0.25">
      <c r="C107" s="62"/>
      <c r="D107" s="99"/>
      <c r="E107" s="96"/>
      <c r="F107" s="96"/>
      <c r="G107" s="96"/>
      <c r="H107" s="96"/>
      <c r="I107" s="96"/>
      <c r="L107" s="97"/>
      <c r="N107" s="93"/>
      <c r="R107" s="82"/>
      <c r="S107" s="82"/>
      <c r="T107" s="82"/>
    </row>
    <row r="108" spans="3:20" x14ac:dyDescent="0.25">
      <c r="C108" s="62"/>
      <c r="D108" s="96"/>
      <c r="E108" s="96"/>
      <c r="F108" s="96"/>
      <c r="G108" s="96"/>
      <c r="H108" s="96"/>
      <c r="I108" s="96"/>
      <c r="L108" s="97"/>
      <c r="N108" s="93"/>
      <c r="R108" s="82"/>
      <c r="S108" s="82"/>
      <c r="T108" s="82"/>
    </row>
    <row r="109" spans="3:20" x14ac:dyDescent="0.25">
      <c r="C109" s="62"/>
      <c r="D109" s="98"/>
      <c r="E109" s="96"/>
      <c r="F109" s="96"/>
      <c r="G109" s="96"/>
      <c r="H109" s="96"/>
      <c r="I109" s="96"/>
      <c r="L109" s="97"/>
      <c r="N109" s="93"/>
      <c r="R109" s="82"/>
      <c r="S109" s="82"/>
      <c r="T109" s="82"/>
    </row>
    <row r="110" spans="3:20" x14ac:dyDescent="0.25">
      <c r="C110" s="62"/>
      <c r="D110" s="96"/>
      <c r="E110" s="96"/>
      <c r="F110" s="96"/>
      <c r="G110" s="96"/>
      <c r="H110" s="96"/>
      <c r="I110" s="96"/>
      <c r="L110" s="94"/>
      <c r="N110" s="93"/>
      <c r="R110" s="82"/>
      <c r="S110" s="82"/>
      <c r="T110" s="82"/>
    </row>
    <row r="111" spans="3:20" x14ac:dyDescent="0.25">
      <c r="C111" s="62"/>
      <c r="D111" s="83"/>
      <c r="L111" s="95"/>
      <c r="N111" s="93"/>
      <c r="R111" s="82"/>
      <c r="S111" s="82"/>
      <c r="T111" s="82"/>
    </row>
    <row r="112" spans="3:20" x14ac:dyDescent="0.25">
      <c r="L112" s="95"/>
      <c r="N112" s="93"/>
      <c r="R112" s="82"/>
      <c r="S112" s="82"/>
      <c r="T112" s="82"/>
    </row>
    <row r="113" spans="3:20" x14ac:dyDescent="0.25">
      <c r="N113" s="93"/>
      <c r="R113" s="82"/>
      <c r="S113" s="82"/>
      <c r="T113" s="82"/>
    </row>
    <row r="114" spans="3:20" x14ac:dyDescent="0.25">
      <c r="L114" s="95"/>
      <c r="N114" s="93"/>
      <c r="R114" s="82"/>
      <c r="S114" s="82"/>
      <c r="T114" s="82"/>
    </row>
    <row r="115" spans="3:20" x14ac:dyDescent="0.25">
      <c r="L115" s="95"/>
      <c r="N115" s="93"/>
      <c r="R115" s="82"/>
      <c r="S115" s="82"/>
      <c r="T115" s="82"/>
    </row>
    <row r="116" spans="3:20" x14ac:dyDescent="0.25">
      <c r="C116" s="62"/>
      <c r="L116" s="91"/>
      <c r="R116" s="82"/>
      <c r="S116" s="82"/>
      <c r="T116" s="82"/>
    </row>
    <row r="117" spans="3:20" x14ac:dyDescent="0.25">
      <c r="C117" s="62"/>
      <c r="L117" s="91"/>
      <c r="R117" s="82"/>
      <c r="S117" s="82"/>
      <c r="T117" s="82"/>
    </row>
    <row r="118" spans="3:20" x14ac:dyDescent="0.25">
      <c r="C118" s="62"/>
      <c r="D118" s="44"/>
      <c r="J118" s="93"/>
      <c r="K118" s="93"/>
      <c r="L118" s="94"/>
      <c r="M118" s="93"/>
      <c r="N118" s="93"/>
      <c r="R118" s="82"/>
      <c r="S118" s="82"/>
      <c r="T118" s="82"/>
    </row>
    <row r="119" spans="3:20" x14ac:dyDescent="0.25">
      <c r="C119" s="62"/>
      <c r="D119" s="85"/>
      <c r="J119" s="93"/>
      <c r="K119" s="93"/>
      <c r="L119" s="94"/>
      <c r="M119" s="93"/>
      <c r="N119" s="93"/>
      <c r="R119" s="82"/>
      <c r="S119" s="82"/>
      <c r="T119" s="82"/>
    </row>
    <row r="120" spans="3:20" x14ac:dyDescent="0.25">
      <c r="J120" s="93"/>
      <c r="K120" s="93"/>
      <c r="L120" s="94"/>
      <c r="M120" s="93"/>
      <c r="N120" s="93"/>
      <c r="R120" s="82"/>
      <c r="S120" s="82"/>
      <c r="T120" s="82"/>
    </row>
    <row r="121" spans="3:20" x14ac:dyDescent="0.25">
      <c r="J121" s="93"/>
      <c r="K121" s="93"/>
      <c r="L121" s="94"/>
      <c r="M121" s="93"/>
      <c r="N121" s="93"/>
      <c r="R121" s="82"/>
      <c r="S121" s="82"/>
      <c r="T121" s="82"/>
    </row>
    <row r="122" spans="3:20" x14ac:dyDescent="0.25">
      <c r="C122" s="62"/>
      <c r="E122" s="85"/>
      <c r="J122" s="93"/>
      <c r="K122" s="93"/>
      <c r="L122" s="94"/>
      <c r="M122" s="93"/>
      <c r="N122" s="93"/>
      <c r="R122" s="82"/>
      <c r="S122" s="82"/>
      <c r="T122" s="82"/>
    </row>
    <row r="123" spans="3:20" x14ac:dyDescent="0.25">
      <c r="E123" s="85"/>
      <c r="J123" s="93"/>
      <c r="K123" s="93"/>
      <c r="L123" s="94"/>
      <c r="M123" s="93"/>
      <c r="N123" s="93"/>
      <c r="R123" s="82"/>
      <c r="S123" s="82"/>
      <c r="T123" s="82"/>
    </row>
    <row r="124" spans="3:20" x14ac:dyDescent="0.25">
      <c r="E124" s="85"/>
      <c r="J124" s="93"/>
      <c r="K124" s="93"/>
      <c r="L124" s="94"/>
      <c r="M124" s="93"/>
      <c r="N124" s="93"/>
      <c r="R124" s="82"/>
      <c r="S124" s="82"/>
      <c r="T124" s="82"/>
    </row>
    <row r="125" spans="3:20" x14ac:dyDescent="0.25">
      <c r="E125" s="85"/>
      <c r="L125" s="91"/>
      <c r="R125" s="82"/>
      <c r="S125" s="82"/>
      <c r="T125" s="82"/>
    </row>
    <row r="126" spans="3:20" x14ac:dyDescent="0.25">
      <c r="E126" s="85"/>
      <c r="L126" s="91"/>
      <c r="R126" s="82"/>
      <c r="S126" s="82"/>
      <c r="T126" s="82"/>
    </row>
    <row r="127" spans="3:20" x14ac:dyDescent="0.25">
      <c r="E127" s="85"/>
      <c r="K127" s="46"/>
      <c r="L127" s="91"/>
      <c r="N127" s="91"/>
      <c r="R127" s="92"/>
      <c r="S127" s="82"/>
      <c r="T127" s="82"/>
    </row>
    <row r="128" spans="3:20" x14ac:dyDescent="0.25">
      <c r="E128" s="85"/>
      <c r="K128" s="46"/>
      <c r="L128" s="87"/>
      <c r="N128" s="91"/>
      <c r="R128" s="86"/>
      <c r="S128" s="82"/>
      <c r="T128" s="82"/>
    </row>
    <row r="129" spans="3:20" x14ac:dyDescent="0.25">
      <c r="L129" s="91"/>
      <c r="R129" s="82"/>
      <c r="S129" s="82"/>
      <c r="T129" s="82"/>
    </row>
    <row r="130" spans="3:20" x14ac:dyDescent="0.25">
      <c r="C130" s="62"/>
      <c r="N130" s="86"/>
      <c r="R130" s="82"/>
      <c r="S130" s="82"/>
      <c r="T130" s="82"/>
    </row>
    <row r="131" spans="3:20" hidden="1" x14ac:dyDescent="0.25">
      <c r="R131" s="82"/>
      <c r="S131" s="82"/>
      <c r="T131" s="82"/>
    </row>
    <row r="132" spans="3:20" hidden="1" x14ac:dyDescent="0.25">
      <c r="C132" s="62"/>
      <c r="R132" s="82"/>
      <c r="S132" s="82"/>
      <c r="T132" s="82"/>
    </row>
    <row r="133" spans="3:20" hidden="1" x14ac:dyDescent="0.25">
      <c r="C133" s="767"/>
      <c r="D133" s="767"/>
      <c r="E133" s="767"/>
      <c r="F133" s="767"/>
      <c r="G133" s="767"/>
      <c r="H133" s="767"/>
      <c r="I133" s="767"/>
      <c r="R133" s="82"/>
      <c r="S133" s="82"/>
      <c r="T133" s="82"/>
    </row>
    <row r="134" spans="3:20" x14ac:dyDescent="0.25">
      <c r="C134" s="767"/>
      <c r="D134" s="767"/>
      <c r="E134" s="767"/>
      <c r="F134" s="767"/>
      <c r="G134" s="767"/>
      <c r="H134" s="767"/>
      <c r="I134" s="767"/>
      <c r="R134" s="82"/>
      <c r="S134" s="82"/>
      <c r="T134" s="82"/>
    </row>
    <row r="135" spans="3:20" x14ac:dyDescent="0.25">
      <c r="C135" s="767"/>
      <c r="D135" s="767"/>
      <c r="E135" s="767"/>
      <c r="F135" s="767"/>
      <c r="G135" s="767"/>
      <c r="H135" s="767"/>
      <c r="I135" s="767"/>
      <c r="R135" s="82"/>
      <c r="S135" s="82"/>
      <c r="T135" s="82"/>
    </row>
    <row r="136" spans="3:20" x14ac:dyDescent="0.25">
      <c r="C136" s="767"/>
      <c r="D136" s="767"/>
      <c r="E136" s="767"/>
      <c r="F136" s="767"/>
      <c r="G136" s="767"/>
      <c r="H136" s="767"/>
      <c r="I136" s="767"/>
    </row>
    <row r="137" spans="3:20" x14ac:dyDescent="0.25">
      <c r="C137" s="767"/>
      <c r="D137" s="767"/>
      <c r="E137" s="767"/>
      <c r="F137" s="767"/>
      <c r="G137" s="767"/>
      <c r="H137" s="767"/>
      <c r="I137" s="767"/>
    </row>
    <row r="138" spans="3:20" x14ac:dyDescent="0.25">
      <c r="C138" s="85"/>
      <c r="D138" s="85"/>
      <c r="E138" s="85"/>
      <c r="F138" s="85"/>
      <c r="G138" s="85"/>
      <c r="H138" s="85"/>
      <c r="I138" s="85"/>
    </row>
    <row r="139" spans="3:20" x14ac:dyDescent="0.25">
      <c r="C139" s="62"/>
    </row>
    <row r="147" spans="10:12" x14ac:dyDescent="0.25">
      <c r="J147" s="90"/>
      <c r="K147" s="81"/>
      <c r="L147" s="87"/>
    </row>
    <row r="148" spans="10:12" x14ac:dyDescent="0.25">
      <c r="J148" s="89"/>
      <c r="K148" s="81"/>
      <c r="L148" s="87"/>
    </row>
    <row r="149" spans="10:12" x14ac:dyDescent="0.25">
      <c r="J149" s="89"/>
      <c r="K149" s="81"/>
      <c r="L149" s="87"/>
    </row>
    <row r="150" spans="10:12" x14ac:dyDescent="0.25">
      <c r="J150" s="89"/>
      <c r="K150" s="81"/>
      <c r="L150" s="87"/>
    </row>
    <row r="151" spans="10:12" x14ac:dyDescent="0.25">
      <c r="J151" s="88"/>
      <c r="K151" s="81"/>
      <c r="L151" s="87"/>
    </row>
    <row r="152" spans="10:12" x14ac:dyDescent="0.25">
      <c r="J152" s="86"/>
      <c r="K152" s="85"/>
      <c r="L152" s="84"/>
    </row>
  </sheetData>
  <sheetProtection algorithmName="SHA-512" hashValue="0H8Rovby2XQ6+CoBEua8JAG47nJB9FmyWlRNUVYWn6FtY6xn0rBtra+tSi+DHPDASzL7+NOuxuBe51hWC2mPlA==" saltValue="dBBQ/6TrbnnZXoMOFdN5Vg==" spinCount="100000" sheet="1" objects="1" scenarios="1"/>
  <mergeCells count="5">
    <mergeCell ref="O88:O89"/>
    <mergeCell ref="C133:I137"/>
    <mergeCell ref="C2:F2"/>
    <mergeCell ref="B69:I72"/>
    <mergeCell ref="N88:N89"/>
  </mergeCells>
  <dataValidations count="15">
    <dataValidation type="list" allowBlank="1" showInputMessage="1" showErrorMessage="1" sqref="D106" xr:uid="{00000000-0002-0000-0700-000010000000}">
      <formula1>current_prod_2</formula1>
    </dataValidation>
    <dataValidation type="list" allowBlank="1" showInputMessage="1" showErrorMessage="1" sqref="E122:E128" xr:uid="{00000000-0002-0000-0700-00000F000000}">
      <formula1>review</formula1>
    </dataValidation>
    <dataValidation type="whole" allowBlank="1" showInputMessage="1" showErrorMessage="1" errorTitle="Error Mortgage Term" error="our minimum mortgage term is 5 years our maximum mortgage term is 35 years" promptTitle="Mortgage Term" prompt="our minimum mortgage term is 5 years our maximum mortgage term is 35 years_x000a_" sqref="D12 D10 D8" xr:uid="{00000000-0002-0000-0700-00000E000000}">
      <formula1>5</formula1>
      <formula2>35</formula2>
    </dataValidation>
    <dataValidation allowBlank="1" showInputMessage="1" showErrorMessage="1" promptTitle="Loan Size" prompt="Minimum Loan £75,000_x000a_LTV Limit    Loan Size_x000a_95%             £275,000_x000a_90%             £300,000_x000a_85%             £325,000_x000a_80%             £375,000_x000a_75%             £425,000_x000a_70%             £475,000_x000a_65%             £650,000_x000a_60%             £1,000,000" sqref="D5" xr:uid="{00000000-0002-0000-0700-00000D000000}"/>
    <dataValidation allowBlank="1" showErrorMessage="1" promptTitle="Acceptable other - Employed" prompt="additional confirmable employment related income such as regular or guaranteed overtime and bonuses, providing these have been paid consistently over the last two years with the same employer and can be evidenced with 2 P60s" sqref="F25:H25" xr:uid="{00000000-0002-0000-0700-00000C000000}"/>
    <dataValidation allowBlank="1" showInputMessage="1" showErrorMessage="1" prompt="Please enter the average UK taxable income for the last 3 tax years" sqref="D27 F27:H27" xr:uid="{00000000-0002-0000-0700-00000B000000}"/>
    <dataValidation allowBlank="1" showInputMessage="1" showErrorMessage="1" prompt="Please enter average renumeration for the last 3 years" sqref="D29" xr:uid="{00000000-0002-0000-0700-00000A000000}"/>
    <dataValidation allowBlank="1" showInputMessage="1" showErrorMessage="1" prompt="We may also consider net profit from land and property as per the HMRC tax assessments or SA302’s." sqref="D35 F35:H35" xr:uid="{00000000-0002-0000-0700-000008000000}"/>
    <dataValidation allowBlank="1" showInputMessage="1" showErrorMessage="1" promptTitle="Monthly Net Income" prompt="Employed - please input the lowest NET figure from the last 3 months payslips_x000a__x000a_Self Employed - Take average of last 3 years SA302s Net income figure divided by 12 " sqref="D37" xr:uid="{00000000-0002-0000-0700-000007000000}"/>
    <dataValidation allowBlank="1" showInputMessage="1" showErrorMessage="1" promptTitle="Child Costs" prompt="Please input monthly cost for:_x000a_- Maintenance/Child Support_x000a_- Nursery/Childcare Costs_x000a_- Tuition Fees" sqref="D45" xr:uid="{00000000-0002-0000-0700-000006000000}"/>
    <dataValidation allowBlank="1" showInputMessage="1" showErrorMessage="1" promptTitle="Student Loans" prompt="Only input if this has not been incorporated into the &quot;Verified (monthly) Net Income Figure&quot;" sqref="D49" xr:uid="{00000000-0002-0000-0700-000005000000}"/>
    <dataValidation allowBlank="1" showInputMessage="1" showErrorMessage="1" promptTitle="Pension" prompt="Only input if this has not been incorporated into the &quot;Verified (monthly) Net Income Figure&quot;" sqref="D51" xr:uid="{00000000-0002-0000-0700-000004000000}"/>
    <dataValidation allowBlank="1" showInputMessage="1" showErrorMessage="1" prompt="Exclude the monthly mortgage payment of any buy to let properties in the background providing that they are tenanted at the time of application, with at least 135% rental income coverage. " sqref="D47" xr:uid="{00000000-0002-0000-0700-000003000000}"/>
    <dataValidation allowBlank="1" showErrorMessage="1" promptTitle="Acceptable other - Employed" prompt="Enter 100%  of additional confirmable employment related income such as regular or guaranteed overtime and bonuses, providing these have been paid consistently over the last two years with the same employer and can be evidenced with 2 P60s" sqref="D25" xr:uid="{00000000-0002-0000-0700-000002000000}"/>
    <dataValidation allowBlank="1" showErrorMessage="1" errorTitle="Error Mortgage Term" error="our minimum mortgage term is 5 years our maximum mortgage term is 35 years" sqref="D7" xr:uid="{00000000-0002-0000-0700-000001000000}"/>
  </dataValidations>
  <pageMargins left="0.7" right="0.7" top="0.75" bottom="0.75" header="0.3" footer="0.3"/>
  <pageSetup paperSize="9" orientation="portrait" verticalDpi="0" r:id="rId1"/>
  <headerFooter>
    <oddFooter>&amp;C_x000D_&amp;1#&amp;"Calibri"&amp;10&amp;K000000 HIGHLY CONFIDENTIAL</oddFooter>
  </headerFooter>
  <ignoredErrors>
    <ignoredError sqref="D62:D65 F63"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581E9-CF6C-473D-9C88-6AE314D2464F}">
  <dimension ref="B2:T39"/>
  <sheetViews>
    <sheetView showGridLines="0" zoomScale="80" zoomScaleNormal="80" workbookViewId="0">
      <selection activeCell="W13" sqref="W13"/>
    </sheetView>
  </sheetViews>
  <sheetFormatPr defaultRowHeight="15" x14ac:dyDescent="0.25"/>
  <cols>
    <col min="1" max="1" width="4.28515625" customWidth="1"/>
    <col min="2" max="2" width="21.7109375" customWidth="1"/>
    <col min="3" max="3" width="11.5703125" bestFit="1" customWidth="1"/>
    <col min="4" max="4" width="7.7109375" bestFit="1" customWidth="1"/>
    <col min="5" max="5" width="12" bestFit="1" customWidth="1"/>
    <col min="6" max="6" width="6.5703125" customWidth="1"/>
    <col min="7" max="7" width="21.7109375" bestFit="1" customWidth="1"/>
    <col min="8" max="8" width="11.5703125" bestFit="1" customWidth="1"/>
    <col min="9" max="9" width="7.7109375" bestFit="1" customWidth="1"/>
    <col min="10" max="10" width="12" bestFit="1" customWidth="1"/>
    <col min="11" max="11" width="6.5703125" customWidth="1"/>
    <col min="12" max="12" width="21.7109375" bestFit="1" customWidth="1"/>
    <col min="13" max="13" width="11.5703125" bestFit="1" customWidth="1"/>
    <col min="14" max="14" width="7.7109375" bestFit="1" customWidth="1"/>
    <col min="15" max="15" width="12.140625" bestFit="1" customWidth="1"/>
    <col min="16" max="16" width="6.5703125" customWidth="1"/>
    <col min="17" max="17" width="21.7109375" bestFit="1" customWidth="1"/>
    <col min="18" max="18" width="11.5703125" bestFit="1" customWidth="1"/>
    <col min="19" max="19" width="7.7109375" bestFit="1" customWidth="1"/>
    <col min="20" max="20" width="12.140625" bestFit="1" customWidth="1"/>
  </cols>
  <sheetData>
    <row r="2" spans="2:20" s="52" customFormat="1" x14ac:dyDescent="0.25">
      <c r="B2" s="773" t="s">
        <v>611</v>
      </c>
      <c r="C2" s="774"/>
      <c r="D2" s="775"/>
      <c r="F2"/>
      <c r="G2" s="773" t="s">
        <v>612</v>
      </c>
      <c r="H2" s="774"/>
      <c r="I2" s="775"/>
    </row>
    <row r="3" spans="2:20" s="266" customFormat="1" x14ac:dyDescent="0.25">
      <c r="B3" s="461" t="s">
        <v>613</v>
      </c>
      <c r="C3" s="462" t="s">
        <v>614</v>
      </c>
      <c r="D3" s="463" t="s">
        <v>615</v>
      </c>
      <c r="E3" s="464"/>
      <c r="F3"/>
      <c r="G3" s="461" t="s">
        <v>613</v>
      </c>
      <c r="H3" s="462" t="s">
        <v>614</v>
      </c>
      <c r="I3" s="463" t="s">
        <v>615</v>
      </c>
      <c r="L3" s="773" t="s">
        <v>616</v>
      </c>
      <c r="M3" s="774"/>
      <c r="N3" s="775"/>
    </row>
    <row r="4" spans="2:20" x14ac:dyDescent="0.25">
      <c r="B4" s="465" t="s">
        <v>617</v>
      </c>
      <c r="C4" s="466">
        <v>12570</v>
      </c>
      <c r="D4" s="467">
        <v>0</v>
      </c>
      <c r="E4" s="468"/>
      <c r="G4" s="465" t="s">
        <v>617</v>
      </c>
      <c r="H4" s="466">
        <v>12570</v>
      </c>
      <c r="I4" s="467">
        <v>0</v>
      </c>
      <c r="L4" s="461" t="s">
        <v>613</v>
      </c>
      <c r="M4" s="462" t="s">
        <v>614</v>
      </c>
      <c r="N4" s="463" t="s">
        <v>615</v>
      </c>
    </row>
    <row r="5" spans="2:20" x14ac:dyDescent="0.25">
      <c r="B5" s="465" t="s">
        <v>618</v>
      </c>
      <c r="C5" s="469">
        <v>50270</v>
      </c>
      <c r="D5" s="470">
        <v>0.2</v>
      </c>
      <c r="G5" s="465" t="s">
        <v>619</v>
      </c>
      <c r="H5" s="469">
        <v>15397</v>
      </c>
      <c r="I5" s="470">
        <v>0.19</v>
      </c>
      <c r="L5" s="465" t="s">
        <v>620</v>
      </c>
      <c r="M5" s="466">
        <v>12570</v>
      </c>
      <c r="N5" s="471">
        <v>0</v>
      </c>
    </row>
    <row r="6" spans="2:20" x14ac:dyDescent="0.25">
      <c r="B6" s="465" t="s">
        <v>561</v>
      </c>
      <c r="C6" s="469">
        <v>125140</v>
      </c>
      <c r="D6" s="470">
        <v>0.4</v>
      </c>
      <c r="G6" s="465" t="s">
        <v>621</v>
      </c>
      <c r="H6" s="469">
        <v>27491</v>
      </c>
      <c r="I6" s="470">
        <v>0.2</v>
      </c>
      <c r="L6" s="465" t="s">
        <v>622</v>
      </c>
      <c r="M6" s="469">
        <v>50270</v>
      </c>
      <c r="N6" s="472">
        <v>0.08</v>
      </c>
    </row>
    <row r="7" spans="2:20" x14ac:dyDescent="0.25">
      <c r="B7" s="473" t="s">
        <v>623</v>
      </c>
      <c r="C7" s="474"/>
      <c r="D7" s="475">
        <v>0.45</v>
      </c>
      <c r="G7" s="465" t="s">
        <v>624</v>
      </c>
      <c r="H7" s="469">
        <v>43662</v>
      </c>
      <c r="I7" s="470">
        <v>0.21</v>
      </c>
      <c r="L7" s="473" t="s">
        <v>623</v>
      </c>
      <c r="M7" s="474"/>
      <c r="N7" s="476">
        <v>0.02</v>
      </c>
    </row>
    <row r="8" spans="2:20" x14ac:dyDescent="0.25">
      <c r="G8" s="465" t="s">
        <v>625</v>
      </c>
      <c r="H8" s="469">
        <v>75000</v>
      </c>
      <c r="I8" s="470">
        <v>0.42</v>
      </c>
    </row>
    <row r="9" spans="2:20" x14ac:dyDescent="0.25">
      <c r="G9" s="465" t="s">
        <v>626</v>
      </c>
      <c r="H9" s="469">
        <v>125140</v>
      </c>
      <c r="I9" s="470">
        <v>0.45</v>
      </c>
    </row>
    <row r="10" spans="2:20" x14ac:dyDescent="0.25">
      <c r="G10" s="473" t="s">
        <v>627</v>
      </c>
      <c r="H10" s="474"/>
      <c r="I10" s="475">
        <v>0.48</v>
      </c>
    </row>
    <row r="11" spans="2:20" ht="21.75" customHeight="1" x14ac:dyDescent="0.25">
      <c r="H11" s="468"/>
    </row>
    <row r="12" spans="2:20" x14ac:dyDescent="0.25">
      <c r="D12" s="52"/>
      <c r="E12" s="266" t="s">
        <v>139</v>
      </c>
      <c r="J12" s="266" t="s">
        <v>140</v>
      </c>
      <c r="N12" s="52"/>
      <c r="O12" s="266" t="s">
        <v>353</v>
      </c>
      <c r="T12" s="266" t="s">
        <v>354</v>
      </c>
    </row>
    <row r="13" spans="2:20" x14ac:dyDescent="0.25">
      <c r="D13" s="266" t="s">
        <v>628</v>
      </c>
      <c r="E13" s="477">
        <f>Enquiry!X47+Enquiry!U46</f>
        <v>0</v>
      </c>
      <c r="I13" s="266" t="s">
        <v>628</v>
      </c>
      <c r="J13" s="477">
        <f>Enquiry!X49+Enquiry!U49</f>
        <v>0</v>
      </c>
      <c r="N13" s="266" t="s">
        <v>628</v>
      </c>
      <c r="O13" s="477">
        <f>Enquiry!X51+Enquiry!U52</f>
        <v>0</v>
      </c>
      <c r="S13" s="266" t="s">
        <v>628</v>
      </c>
      <c r="T13" s="477">
        <f>Enquiry!X53+Enquiry!U55</f>
        <v>0</v>
      </c>
    </row>
    <row r="14" spans="2:20" x14ac:dyDescent="0.25">
      <c r="D14" s="266" t="s">
        <v>629</v>
      </c>
      <c r="E14" s="477">
        <f>E13+Enquiry!R46</f>
        <v>0</v>
      </c>
      <c r="I14" s="266" t="s">
        <v>629</v>
      </c>
      <c r="J14" s="477">
        <f>J13+Enquiry!R49</f>
        <v>0</v>
      </c>
      <c r="N14" s="266" t="s">
        <v>629</v>
      </c>
      <c r="O14" s="477">
        <f>O13+Enquiry!R52</f>
        <v>0</v>
      </c>
      <c r="S14" s="266" t="s">
        <v>629</v>
      </c>
      <c r="T14" s="477">
        <f>T13+Enquiry!R55</f>
        <v>0</v>
      </c>
    </row>
    <row r="16" spans="2:20" x14ac:dyDescent="0.25">
      <c r="B16" s="52" t="s">
        <v>630</v>
      </c>
      <c r="C16" s="52" t="s">
        <v>614</v>
      </c>
      <c r="D16" s="52" t="s">
        <v>615</v>
      </c>
      <c r="E16" s="52" t="s">
        <v>631</v>
      </c>
      <c r="G16" s="52" t="s">
        <v>630</v>
      </c>
      <c r="H16" s="52" t="s">
        <v>614</v>
      </c>
      <c r="I16" s="52" t="s">
        <v>615</v>
      </c>
      <c r="J16" s="52" t="s">
        <v>631</v>
      </c>
      <c r="L16" s="52" t="s">
        <v>630</v>
      </c>
      <c r="M16" s="52" t="s">
        <v>614</v>
      </c>
      <c r="N16" s="52" t="s">
        <v>615</v>
      </c>
      <c r="O16" s="52" t="s">
        <v>631</v>
      </c>
      <c r="Q16" s="52" t="s">
        <v>630</v>
      </c>
      <c r="R16" s="52" t="s">
        <v>614</v>
      </c>
      <c r="S16" s="52" t="s">
        <v>615</v>
      </c>
      <c r="T16" s="52" t="s">
        <v>631</v>
      </c>
    </row>
    <row r="17" spans="2:20" x14ac:dyDescent="0.25">
      <c r="B17" t="s">
        <v>617</v>
      </c>
      <c r="C17" s="394">
        <f>IF(E13&gt;100000,IF(E13&lt;$C$6,$C$4-(E13-100000)/2,0),$C$4)</f>
        <v>12570</v>
      </c>
      <c r="D17" s="478">
        <f>$D$4</f>
        <v>0</v>
      </c>
      <c r="E17" s="479">
        <f>MIN(E$13,C17)*-D17</f>
        <v>0</v>
      </c>
      <c r="G17" t="s">
        <v>617</v>
      </c>
      <c r="H17" s="394">
        <f>IF(J13&gt;100000,IF(J13&lt;$C$6,$C$4-(J13-100000)/2,0),$C$4)</f>
        <v>12570</v>
      </c>
      <c r="I17" s="478">
        <f>$D$4</f>
        <v>0</v>
      </c>
      <c r="J17" s="479">
        <f>MIN(J$13,H17)*-I17</f>
        <v>0</v>
      </c>
      <c r="L17" t="s">
        <v>617</v>
      </c>
      <c r="M17" s="394">
        <f>IF(O13&gt;100000,IF(O13&lt;$C$6,$C$4-(O13-100000)/2,0),$C$4)</f>
        <v>12570</v>
      </c>
      <c r="N17" s="478">
        <f>$D$4</f>
        <v>0</v>
      </c>
      <c r="O17" s="479">
        <f>MIN(O$13,M17)*-N17</f>
        <v>0</v>
      </c>
      <c r="Q17" t="s">
        <v>617</v>
      </c>
      <c r="R17" s="394">
        <f>IF(T13&gt;100000,IF(T13&lt;$C$6,$C$4-(T13-100000)/2,0),$C$4)</f>
        <v>12570</v>
      </c>
      <c r="S17" s="478">
        <f>$D$4</f>
        <v>0</v>
      </c>
      <c r="T17" s="479">
        <f>MIN(T$13,R17)*-S17</f>
        <v>0</v>
      </c>
    </row>
    <row r="18" spans="2:20" x14ac:dyDescent="0.25">
      <c r="B18" t="s">
        <v>618</v>
      </c>
      <c r="C18" s="394">
        <f>$C$5-$C$4+C$17</f>
        <v>50270</v>
      </c>
      <c r="D18" s="478">
        <f>$D$5</f>
        <v>0.2</v>
      </c>
      <c r="E18" s="479">
        <f>MAX(0,MIN(E$13,C18)-C17)*-D18</f>
        <v>0</v>
      </c>
      <c r="G18" t="s">
        <v>618</v>
      </c>
      <c r="H18" s="394">
        <f>$C$5-$C$4+H$17</f>
        <v>50270</v>
      </c>
      <c r="I18" s="478">
        <f>$D$5</f>
        <v>0.2</v>
      </c>
      <c r="J18" s="479">
        <f>MAX(0,MIN(J$13,H18)-H17)*-I18</f>
        <v>0</v>
      </c>
      <c r="L18" t="s">
        <v>618</v>
      </c>
      <c r="M18" s="394">
        <f>$C$5-$C$4+M$17</f>
        <v>50270</v>
      </c>
      <c r="N18" s="478">
        <f>$D$5</f>
        <v>0.2</v>
      </c>
      <c r="O18" s="479">
        <f>MAX(0,MIN(O$13,M18)-M17)*-N18</f>
        <v>0</v>
      </c>
      <c r="Q18" t="s">
        <v>618</v>
      </c>
      <c r="R18" s="394">
        <f>$C$5-$C$4+R$17</f>
        <v>50270</v>
      </c>
      <c r="S18" s="478">
        <f>$D$5</f>
        <v>0.2</v>
      </c>
      <c r="T18" s="479">
        <f>MAX(0,MIN(T$13,R18)-R17)*-S18</f>
        <v>0</v>
      </c>
    </row>
    <row r="19" spans="2:20" x14ac:dyDescent="0.25">
      <c r="B19" t="s">
        <v>561</v>
      </c>
      <c r="C19" s="394">
        <f>$C$6</f>
        <v>125140</v>
      </c>
      <c r="D19" s="478">
        <f>$D$6</f>
        <v>0.4</v>
      </c>
      <c r="E19" s="479">
        <f>MAX(0,MIN(E$13,C19)-C18)*-D19</f>
        <v>0</v>
      </c>
      <c r="G19" t="s">
        <v>561</v>
      </c>
      <c r="H19" s="394">
        <f>$C$6</f>
        <v>125140</v>
      </c>
      <c r="I19" s="478">
        <f>$D$6</f>
        <v>0.4</v>
      </c>
      <c r="J19" s="479">
        <f>MAX(0,MIN(J$13,H19)-H18)*-I19</f>
        <v>0</v>
      </c>
      <c r="L19" t="s">
        <v>561</v>
      </c>
      <c r="M19" s="394">
        <f>$C$6</f>
        <v>125140</v>
      </c>
      <c r="N19" s="478">
        <f>$D$6</f>
        <v>0.4</v>
      </c>
      <c r="O19" s="479">
        <f>MAX(0,MIN(O$13,M19)-M18)*-N19</f>
        <v>0</v>
      </c>
      <c r="Q19" t="s">
        <v>561</v>
      </c>
      <c r="R19" s="394">
        <f>$C$6</f>
        <v>125140</v>
      </c>
      <c r="S19" s="478">
        <f>$D$6</f>
        <v>0.4</v>
      </c>
      <c r="T19" s="479">
        <f>MAX(0,MIN(T$13,R19)-R18)*-S19</f>
        <v>0</v>
      </c>
    </row>
    <row r="20" spans="2:20" x14ac:dyDescent="0.25">
      <c r="B20" t="s">
        <v>623</v>
      </c>
      <c r="C20" s="394"/>
      <c r="D20" s="478">
        <f>$D$7</f>
        <v>0.45</v>
      </c>
      <c r="E20" s="479">
        <f>MAX(0,E$13-C19)*-D20</f>
        <v>0</v>
      </c>
      <c r="G20" t="s">
        <v>623</v>
      </c>
      <c r="H20" s="394"/>
      <c r="I20" s="478">
        <f>$D$7</f>
        <v>0.45</v>
      </c>
      <c r="J20" s="479">
        <f>MAX(0,J$13-H19)*-I20</f>
        <v>0</v>
      </c>
      <c r="L20" t="s">
        <v>623</v>
      </c>
      <c r="M20" s="394"/>
      <c r="N20" s="478">
        <f>$D$7</f>
        <v>0.45</v>
      </c>
      <c r="O20" s="479">
        <f>MAX(0,O$13-M19)*-N20</f>
        <v>0</v>
      </c>
      <c r="Q20" t="s">
        <v>623</v>
      </c>
      <c r="R20" s="394"/>
      <c r="S20" s="478">
        <f>$D$7</f>
        <v>0.45</v>
      </c>
      <c r="T20" s="479">
        <f>MAX(0,T$13-R19)*-S20</f>
        <v>0</v>
      </c>
    </row>
    <row r="21" spans="2:20" ht="15.75" thickBot="1" x14ac:dyDescent="0.3">
      <c r="C21" s="394"/>
      <c r="D21" s="478"/>
      <c r="E21" s="480">
        <f>SUM(E17:E20)</f>
        <v>0</v>
      </c>
      <c r="H21" s="394"/>
      <c r="I21" s="478"/>
      <c r="J21" s="480">
        <f>SUM(J17:J20)</f>
        <v>0</v>
      </c>
      <c r="M21" s="394"/>
      <c r="N21" s="478"/>
      <c r="O21" s="480">
        <f>SUM(O17:O20)</f>
        <v>0</v>
      </c>
      <c r="R21" s="394"/>
      <c r="S21" s="478"/>
      <c r="T21" s="480">
        <f>SUM(T17:T20)</f>
        <v>0</v>
      </c>
    </row>
    <row r="22" spans="2:20" ht="15.75" thickTop="1" x14ac:dyDescent="0.25">
      <c r="B22" s="52" t="s">
        <v>632</v>
      </c>
      <c r="C22" s="394"/>
      <c r="D22" s="478"/>
      <c r="E22" s="479"/>
      <c r="G22" s="52" t="s">
        <v>632</v>
      </c>
      <c r="H22" s="394"/>
      <c r="I22" s="478"/>
      <c r="J22" s="479"/>
      <c r="L22" s="52" t="s">
        <v>632</v>
      </c>
      <c r="M22" s="394"/>
      <c r="N22" s="478"/>
      <c r="O22" s="479"/>
      <c r="Q22" s="52" t="s">
        <v>632</v>
      </c>
      <c r="R22" s="394"/>
      <c r="S22" s="478"/>
      <c r="T22" s="479"/>
    </row>
    <row r="23" spans="2:20" x14ac:dyDescent="0.25">
      <c r="B23" t="s">
        <v>617</v>
      </c>
      <c r="C23" s="394">
        <f>C17</f>
        <v>12570</v>
      </c>
      <c r="D23" s="478">
        <f>$I$4</f>
        <v>0</v>
      </c>
      <c r="E23" s="479">
        <f>MIN(E$13,C23)*-D23</f>
        <v>0</v>
      </c>
      <c r="G23" t="s">
        <v>617</v>
      </c>
      <c r="H23" s="394">
        <f>H17</f>
        <v>12570</v>
      </c>
      <c r="I23" s="478">
        <f>$I$4</f>
        <v>0</v>
      </c>
      <c r="J23" s="479">
        <f>MIN(J$13,H23)*-I23</f>
        <v>0</v>
      </c>
      <c r="L23" t="s">
        <v>617</v>
      </c>
      <c r="M23" s="394">
        <f>M17</f>
        <v>12570</v>
      </c>
      <c r="N23" s="478">
        <f>$I$4</f>
        <v>0</v>
      </c>
      <c r="O23" s="479">
        <f>MIN(O$13,M23)*-N23</f>
        <v>0</v>
      </c>
      <c r="Q23" t="s">
        <v>617</v>
      </c>
      <c r="R23" s="394">
        <f>R17</f>
        <v>12570</v>
      </c>
      <c r="S23" s="478">
        <f>$I$4</f>
        <v>0</v>
      </c>
      <c r="T23" s="479">
        <f>MIN(T$13,R23)*-S23</f>
        <v>0</v>
      </c>
    </row>
    <row r="24" spans="2:20" x14ac:dyDescent="0.25">
      <c r="B24" t="s">
        <v>619</v>
      </c>
      <c r="C24" s="394">
        <f>$H5-$H$4+C$23</f>
        <v>15397</v>
      </c>
      <c r="D24" s="478">
        <f>$I$5</f>
        <v>0.19</v>
      </c>
      <c r="E24" s="479">
        <f>MAX(0,MIN(E$13,C24)-C23)*-D24</f>
        <v>0</v>
      </c>
      <c r="G24" t="s">
        <v>619</v>
      </c>
      <c r="H24" s="394">
        <f>$H5-$H$4+H$23</f>
        <v>15397</v>
      </c>
      <c r="I24" s="478">
        <f>$I$5</f>
        <v>0.19</v>
      </c>
      <c r="J24" s="479">
        <f>MAX(0,MIN(J$13,H24)-H23)*-I24</f>
        <v>0</v>
      </c>
      <c r="L24" t="s">
        <v>619</v>
      </c>
      <c r="M24" s="394">
        <f>$H5-$H$4+M$23</f>
        <v>15397</v>
      </c>
      <c r="N24" s="478">
        <f>$I$5</f>
        <v>0.19</v>
      </c>
      <c r="O24" s="479">
        <f>MAX(0,MIN(O$13,M24)-M23)*-N24</f>
        <v>0</v>
      </c>
      <c r="Q24" t="s">
        <v>619</v>
      </c>
      <c r="R24" s="394">
        <f>$H5-$H$4+R$23</f>
        <v>15397</v>
      </c>
      <c r="S24" s="478">
        <f>$I$5</f>
        <v>0.19</v>
      </c>
      <c r="T24" s="479">
        <f>MAX(0,MIN(T$13,R24)-R23)*-S24</f>
        <v>0</v>
      </c>
    </row>
    <row r="25" spans="2:20" x14ac:dyDescent="0.25">
      <c r="B25" t="s">
        <v>621</v>
      </c>
      <c r="C25" s="394">
        <f t="shared" ref="C25:C27" si="0">$H6-$H$4+C$23</f>
        <v>27491</v>
      </c>
      <c r="D25" s="478">
        <f>$I$6</f>
        <v>0.2</v>
      </c>
      <c r="E25" s="479">
        <f>MAX(0,MIN(E$13,C25)-C24)*-D25</f>
        <v>0</v>
      </c>
      <c r="G25" t="s">
        <v>621</v>
      </c>
      <c r="H25" s="394">
        <f t="shared" ref="H25:H27" si="1">$H6-$H$4+H$23</f>
        <v>27491</v>
      </c>
      <c r="I25" s="478">
        <f>$I$6</f>
        <v>0.2</v>
      </c>
      <c r="J25" s="479">
        <f>MAX(0,MIN(J$13,H25)-H24)*-I25</f>
        <v>0</v>
      </c>
      <c r="L25" t="s">
        <v>621</v>
      </c>
      <c r="M25" s="394">
        <f t="shared" ref="M25:M27" si="2">$H6-$H$4+M$23</f>
        <v>27491</v>
      </c>
      <c r="N25" s="478">
        <f>$I$6</f>
        <v>0.2</v>
      </c>
      <c r="O25" s="479">
        <f>MAX(0,MIN(O$13,M25)-M24)*-N25</f>
        <v>0</v>
      </c>
      <c r="Q25" t="s">
        <v>621</v>
      </c>
      <c r="R25" s="394">
        <f t="shared" ref="R25:R27" si="3">$H6-$H$4+R$23</f>
        <v>27491</v>
      </c>
      <c r="S25" s="478">
        <f>$I$6</f>
        <v>0.2</v>
      </c>
      <c r="T25" s="479">
        <f>MAX(0,MIN(T$13,R25)-R24)*-S25</f>
        <v>0</v>
      </c>
    </row>
    <row r="26" spans="2:20" x14ac:dyDescent="0.25">
      <c r="B26" t="s">
        <v>624</v>
      </c>
      <c r="C26" s="394">
        <f t="shared" si="0"/>
        <v>43662</v>
      </c>
      <c r="D26" s="478">
        <f>$I$7</f>
        <v>0.21</v>
      </c>
      <c r="E26" s="479">
        <f t="shared" ref="E26:E27" si="4">MAX(0,MIN(E$13,C26)-C25)*-D26</f>
        <v>0</v>
      </c>
      <c r="G26" t="s">
        <v>624</v>
      </c>
      <c r="H26" s="394">
        <f t="shared" si="1"/>
        <v>43662</v>
      </c>
      <c r="I26" s="478">
        <f>$I$7</f>
        <v>0.21</v>
      </c>
      <c r="J26" s="479">
        <f t="shared" ref="J26" si="5">MAX(0,MIN(J$13,H26)-H25)*-I26</f>
        <v>0</v>
      </c>
      <c r="L26" t="s">
        <v>624</v>
      </c>
      <c r="M26" s="394">
        <f t="shared" si="2"/>
        <v>43662</v>
      </c>
      <c r="N26" s="478">
        <f>$I$7</f>
        <v>0.21</v>
      </c>
      <c r="O26" s="479">
        <f t="shared" ref="O26" si="6">MAX(0,MIN(O$13,M26)-M25)*-N26</f>
        <v>0</v>
      </c>
      <c r="Q26" t="s">
        <v>624</v>
      </c>
      <c r="R26" s="394">
        <f t="shared" si="3"/>
        <v>43662</v>
      </c>
      <c r="S26" s="478">
        <f>$I$7</f>
        <v>0.21</v>
      </c>
      <c r="T26" s="479">
        <f t="shared" ref="T26" si="7">MAX(0,MIN(T$13,R26)-R25)*-S26</f>
        <v>0</v>
      </c>
    </row>
    <row r="27" spans="2:20" x14ac:dyDescent="0.25">
      <c r="B27" t="s">
        <v>625</v>
      </c>
      <c r="C27" s="394">
        <f t="shared" si="0"/>
        <v>75000</v>
      </c>
      <c r="D27" s="478">
        <f>$I$8</f>
        <v>0.42</v>
      </c>
      <c r="E27" s="479">
        <f t="shared" si="4"/>
        <v>0</v>
      </c>
      <c r="G27" t="s">
        <v>625</v>
      </c>
      <c r="H27" s="394">
        <f t="shared" si="1"/>
        <v>75000</v>
      </c>
      <c r="I27" s="478">
        <f>$I$8</f>
        <v>0.42</v>
      </c>
      <c r="J27" s="479">
        <f>MAX(0,MIN(J$13,H27)-H26)*-I27</f>
        <v>0</v>
      </c>
      <c r="L27" t="s">
        <v>625</v>
      </c>
      <c r="M27" s="394">
        <f t="shared" si="2"/>
        <v>75000</v>
      </c>
      <c r="N27" s="478">
        <f>$I$8</f>
        <v>0.42</v>
      </c>
      <c r="O27" s="479">
        <f>MAX(0,MIN(O$13,M27)-M26)*-N27</f>
        <v>0</v>
      </c>
      <c r="Q27" t="s">
        <v>625</v>
      </c>
      <c r="R27" s="394">
        <f t="shared" si="3"/>
        <v>75000</v>
      </c>
      <c r="S27" s="478">
        <f>$I$8</f>
        <v>0.42</v>
      </c>
      <c r="T27" s="479">
        <f>MAX(0,MIN(T$13,R27)-R26)*-S27</f>
        <v>0</v>
      </c>
    </row>
    <row r="28" spans="2:20" x14ac:dyDescent="0.25">
      <c r="B28" t="s">
        <v>626</v>
      </c>
      <c r="C28" s="394">
        <f>$H$9</f>
        <v>125140</v>
      </c>
      <c r="D28" s="478">
        <f>$I$9</f>
        <v>0.45</v>
      </c>
      <c r="E28" s="479">
        <f>MAX(0,MIN(E$13,C28)-C27)*-D28</f>
        <v>0</v>
      </c>
      <c r="G28" t="s">
        <v>626</v>
      </c>
      <c r="H28" s="394">
        <f>$H$9</f>
        <v>125140</v>
      </c>
      <c r="I28" s="478">
        <f>$I$9</f>
        <v>0.45</v>
      </c>
      <c r="J28" s="479">
        <f>MAX(0,MIN(J$13,H28)-H27)*-I28</f>
        <v>0</v>
      </c>
      <c r="L28" t="s">
        <v>626</v>
      </c>
      <c r="M28" s="394">
        <f>$H$9</f>
        <v>125140</v>
      </c>
      <c r="N28" s="478">
        <f>$I$9</f>
        <v>0.45</v>
      </c>
      <c r="O28" s="479">
        <f>MAX(0,MIN(O$13,M28)-M27)*-N28</f>
        <v>0</v>
      </c>
      <c r="Q28" t="s">
        <v>626</v>
      </c>
      <c r="R28" s="394">
        <f>$H$9</f>
        <v>125140</v>
      </c>
      <c r="S28" s="478">
        <f>$I$9</f>
        <v>0.45</v>
      </c>
      <c r="T28" s="479">
        <f>MAX(0,MIN(T$13,R28)-R27)*-S28</f>
        <v>0</v>
      </c>
    </row>
    <row r="29" spans="2:20" x14ac:dyDescent="0.25">
      <c r="B29" t="s">
        <v>627</v>
      </c>
      <c r="C29" s="394"/>
      <c r="D29" s="478">
        <f>$I$10</f>
        <v>0.48</v>
      </c>
      <c r="E29" s="479">
        <f>MAX(0,E$13-C28)*-D29</f>
        <v>0</v>
      </c>
      <c r="G29" t="s">
        <v>627</v>
      </c>
      <c r="H29" s="394"/>
      <c r="I29" s="478">
        <f>$I$10</f>
        <v>0.48</v>
      </c>
      <c r="J29" s="479">
        <f>MAX(0,J$13-H28)*-I29</f>
        <v>0</v>
      </c>
      <c r="L29" t="s">
        <v>627</v>
      </c>
      <c r="M29" s="394"/>
      <c r="N29" s="478">
        <f>$I$10</f>
        <v>0.48</v>
      </c>
      <c r="O29" s="479">
        <f>MAX(0,O$13-M28)*-N29</f>
        <v>0</v>
      </c>
      <c r="Q29" t="s">
        <v>627</v>
      </c>
      <c r="R29" s="394"/>
      <c r="S29" s="478">
        <f>$I$10</f>
        <v>0.48</v>
      </c>
      <c r="T29" s="479">
        <f>MAX(0,T$13-R28)*-S29</f>
        <v>0</v>
      </c>
    </row>
    <row r="30" spans="2:20" ht="15.75" thickBot="1" x14ac:dyDescent="0.3">
      <c r="C30" s="394"/>
      <c r="D30" s="478"/>
      <c r="E30" s="480">
        <f>SUM(E23:E29)</f>
        <v>0</v>
      </c>
      <c r="H30" s="394"/>
      <c r="I30" s="478"/>
      <c r="J30" s="480">
        <f>SUM(J23:J29)</f>
        <v>0</v>
      </c>
      <c r="M30" s="394"/>
      <c r="N30" s="478"/>
      <c r="O30" s="480">
        <f>SUM(O23:O29)</f>
        <v>0</v>
      </c>
      <c r="R30" s="394"/>
      <c r="S30" s="478"/>
      <c r="T30" s="480">
        <f>SUM(T23:T29)</f>
        <v>0</v>
      </c>
    </row>
    <row r="31" spans="2:20" ht="15.75" thickTop="1" x14ac:dyDescent="0.25">
      <c r="C31" s="394"/>
      <c r="D31" s="478"/>
      <c r="E31" s="479"/>
      <c r="H31" s="394"/>
      <c r="I31" s="478"/>
      <c r="J31" s="479"/>
      <c r="M31" s="394"/>
      <c r="N31" s="478"/>
      <c r="O31" s="479"/>
      <c r="R31" s="394"/>
      <c r="S31" s="478"/>
      <c r="T31" s="479"/>
    </row>
    <row r="32" spans="2:20" x14ac:dyDescent="0.25">
      <c r="B32" t="s">
        <v>620</v>
      </c>
      <c r="C32" s="394">
        <f>$M$5</f>
        <v>12570</v>
      </c>
      <c r="D32" s="478">
        <f>$N$5</f>
        <v>0</v>
      </c>
      <c r="E32" s="479">
        <f>MIN(E$14,C32)*-D32</f>
        <v>0</v>
      </c>
      <c r="G32" t="s">
        <v>620</v>
      </c>
      <c r="H32" s="394">
        <f>$M$5</f>
        <v>12570</v>
      </c>
      <c r="I32" s="478">
        <f>$N$5</f>
        <v>0</v>
      </c>
      <c r="J32" s="479">
        <f>MIN(J$14,H32)*-I32</f>
        <v>0</v>
      </c>
      <c r="L32" t="s">
        <v>620</v>
      </c>
      <c r="M32" s="394">
        <f>$M$5</f>
        <v>12570</v>
      </c>
      <c r="N32" s="478">
        <f>$N$5</f>
        <v>0</v>
      </c>
      <c r="O32" s="479">
        <f>MIN(O$14,M32)*-N32</f>
        <v>0</v>
      </c>
      <c r="Q32" t="s">
        <v>620</v>
      </c>
      <c r="R32" s="394">
        <f>$M$5</f>
        <v>12570</v>
      </c>
      <c r="S32" s="478">
        <f>$N$5</f>
        <v>0</v>
      </c>
      <c r="T32" s="479">
        <f>MIN(T$14,R32)*-S32</f>
        <v>0</v>
      </c>
    </row>
    <row r="33" spans="2:20" x14ac:dyDescent="0.25">
      <c r="B33" t="s">
        <v>622</v>
      </c>
      <c r="C33" s="394">
        <f>$M$6</f>
        <v>50270</v>
      </c>
      <c r="D33" s="478">
        <f>$N$6</f>
        <v>0.08</v>
      </c>
      <c r="E33" s="479">
        <f>MAX(0,MIN(E$14,C33)-C32)*-D33</f>
        <v>0</v>
      </c>
      <c r="G33" t="s">
        <v>622</v>
      </c>
      <c r="H33" s="394">
        <f>$M$6</f>
        <v>50270</v>
      </c>
      <c r="I33" s="478">
        <f>$N$6</f>
        <v>0.08</v>
      </c>
      <c r="J33" s="479">
        <f>MAX(0,MIN(J$14,H33)-H32)*-I33</f>
        <v>0</v>
      </c>
      <c r="L33" t="s">
        <v>622</v>
      </c>
      <c r="M33" s="394">
        <f>$M$6</f>
        <v>50270</v>
      </c>
      <c r="N33" s="478">
        <f>$N$6</f>
        <v>0.08</v>
      </c>
      <c r="O33" s="479">
        <f>MAX(0,MIN(O$14,M33)-M32)*-N33</f>
        <v>0</v>
      </c>
      <c r="Q33" t="s">
        <v>622</v>
      </c>
      <c r="R33" s="394">
        <f>$M$6</f>
        <v>50270</v>
      </c>
      <c r="S33" s="478">
        <f>$N$6</f>
        <v>0.08</v>
      </c>
      <c r="T33" s="479">
        <f>MAX(0,MIN(T$14,R33)-R32)*-S33</f>
        <v>0</v>
      </c>
    </row>
    <row r="34" spans="2:20" x14ac:dyDescent="0.25">
      <c r="B34" t="s">
        <v>623</v>
      </c>
      <c r="C34" s="394"/>
      <c r="D34" s="478">
        <f>$N$7</f>
        <v>0.02</v>
      </c>
      <c r="E34" s="479">
        <f>MAX(0,E$14-C33)*-D34</f>
        <v>0</v>
      </c>
      <c r="G34" t="s">
        <v>623</v>
      </c>
      <c r="H34" s="394"/>
      <c r="I34" s="478">
        <f>$N$7</f>
        <v>0.02</v>
      </c>
      <c r="J34" s="479">
        <f>MAX(0,J$14-H33)*-I34</f>
        <v>0</v>
      </c>
      <c r="L34" t="s">
        <v>623</v>
      </c>
      <c r="M34" s="394"/>
      <c r="N34" s="478">
        <f>$N$7</f>
        <v>0.02</v>
      </c>
      <c r="O34" s="479">
        <f>MAX(0,O$14-M33)*-N34</f>
        <v>0</v>
      </c>
      <c r="Q34" t="s">
        <v>623</v>
      </c>
      <c r="R34" s="394"/>
      <c r="S34" s="478">
        <f>$N$7</f>
        <v>0.02</v>
      </c>
      <c r="T34" s="479">
        <f>MAX(0,T$14-R33)*-S34</f>
        <v>0</v>
      </c>
    </row>
    <row r="35" spans="2:20" ht="15.75" thickBot="1" x14ac:dyDescent="0.3">
      <c r="C35" s="394"/>
      <c r="D35" s="478"/>
      <c r="E35" s="480">
        <f>SUM(E32:E34)</f>
        <v>0</v>
      </c>
      <c r="H35" s="394"/>
      <c r="I35" s="478"/>
      <c r="J35" s="480">
        <f>SUM(J32:J34)</f>
        <v>0</v>
      </c>
      <c r="M35" s="394"/>
      <c r="N35" s="478"/>
      <c r="O35" s="480">
        <f>SUM(O32:O34)</f>
        <v>0</v>
      </c>
      <c r="R35" s="394"/>
      <c r="S35" s="478"/>
      <c r="T35" s="480">
        <f>SUM(T32:T34)</f>
        <v>0</v>
      </c>
    </row>
    <row r="36" spans="2:20" ht="15.75" thickTop="1" x14ac:dyDescent="0.25">
      <c r="C36" s="394"/>
      <c r="H36" s="394"/>
      <c r="M36" s="394"/>
      <c r="R36" s="394"/>
    </row>
    <row r="37" spans="2:20" x14ac:dyDescent="0.25">
      <c r="B37" s="52" t="s">
        <v>633</v>
      </c>
      <c r="E37" s="481" t="str">
        <f>IF(Enquiry!$C$45="Yes","Scotland","England")</f>
        <v>England</v>
      </c>
      <c r="G37" s="52" t="s">
        <v>633</v>
      </c>
      <c r="J37" s="481" t="str">
        <f>IF(Enquiry!$C$48="Yes","Scotland","England")</f>
        <v>England</v>
      </c>
      <c r="L37" s="52" t="s">
        <v>633</v>
      </c>
      <c r="O37" s="481" t="str">
        <f>IF(Enquiry!$C$51="Yes","Scotland","England")</f>
        <v>England</v>
      </c>
      <c r="Q37" s="52" t="s">
        <v>633</v>
      </c>
      <c r="T37" s="481" t="str">
        <f>IF(Enquiry!$C$54="Yes","Scotland","England")</f>
        <v>England</v>
      </c>
    </row>
    <row r="38" spans="2:20" s="52" customFormat="1" ht="15.75" thickBot="1" x14ac:dyDescent="0.3">
      <c r="B38" s="482" t="s">
        <v>634</v>
      </c>
      <c r="C38" s="482"/>
      <c r="D38" s="482"/>
      <c r="E38" s="483">
        <f>IF(OR(ISBLANK(E13),ISBLANK(E14)),0,(E13+E35+IF(E37="England",E21,E30))/12)</f>
        <v>0</v>
      </c>
      <c r="F38"/>
      <c r="G38" s="482" t="s">
        <v>634</v>
      </c>
      <c r="H38" s="482"/>
      <c r="I38" s="482"/>
      <c r="J38" s="483">
        <f>IF(OR(ISBLANK(J13),ISBLANK(J14)),0,(J13+J35+IF(J37="England",J21,J30))/12)</f>
        <v>0</v>
      </c>
      <c r="L38" s="482" t="s">
        <v>634</v>
      </c>
      <c r="M38" s="482"/>
      <c r="N38" s="482"/>
      <c r="O38" s="483">
        <f>IF(OR(ISBLANK(O13),ISBLANK(O14)),0,(O13+O35+IF(O37="England",O21,O30))/12)</f>
        <v>0</v>
      </c>
      <c r="Q38" s="482" t="s">
        <v>634</v>
      </c>
      <c r="R38" s="482"/>
      <c r="S38" s="482"/>
      <c r="T38" s="483">
        <f>IF(OR(ISBLANK(T13),ISBLANK(T14)),0,(T13+T35+IF(T37="England",T21,T30))/12)</f>
        <v>0</v>
      </c>
    </row>
    <row r="39" spans="2:20" ht="15.75" thickTop="1" x14ac:dyDescent="0.25"/>
  </sheetData>
  <sheetProtection algorithmName="SHA-512" hashValue="Kxgl/yLeCtnvAVcaxLSYqzRYqtxKz5gD/Tfi/ekK7w4gBSz2quSME1DUdvRscnueeYzMXCyt6oFVaneJCzFh9g==" saltValue="cWwEopNT/I7sI37MFXRsfA==" spinCount="100000" sheet="1" objects="1" scenarios="1"/>
  <mergeCells count="3">
    <mergeCell ref="B2:D2"/>
    <mergeCell ref="G2:I2"/>
    <mergeCell ref="L3:N3"/>
  </mergeCells>
  <pageMargins left="0.7" right="0.7" top="0.75" bottom="0.75" header="0.3" footer="0.3"/>
  <headerFooter>
    <oddFooter>&amp;C_x000D_&amp;1#&amp;"Calibri"&amp;10&amp;K000000 HIGHLY CONFIDENTIAL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ca5e3ca9-1947-49c0-ae06-ac5447bb30bf">
      <Terms xmlns="http://schemas.microsoft.com/office/infopath/2007/PartnerControls"/>
    </lcf76f155ced4ddcb4097134ff3c332f>
    <TaxCatchAll xmlns="47dc6b99-b1ea-4bbf-b464-d5e03e75fb87" xsi:nil="true"/>
    <CheckedBy xmlns="ca5e3ca9-1947-49c0-ae06-ac5447bb30bf">
      <UserInfo>
        <DisplayName/>
        <AccountId xsi:nil="true"/>
        <AccountType/>
      </UserInfo>
    </CheckedBy>
    <_ip_UnifiedCompliancePolicyProperties xmlns="http://schemas.microsoft.com/sharepoint/v3" xsi:nil="true"/>
    <Datechecked xmlns="ca5e3ca9-1947-49c0-ae06-ac5447bb30b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71777CCE8F6FC49B0A4D9A501D53999" ma:contentTypeVersion="18" ma:contentTypeDescription="Create a new document." ma:contentTypeScope="" ma:versionID="e5738ffb960f7b7bbbee43d1333b61c5">
  <xsd:schema xmlns:xsd="http://www.w3.org/2001/XMLSchema" xmlns:xs="http://www.w3.org/2001/XMLSchema" xmlns:p="http://schemas.microsoft.com/office/2006/metadata/properties" xmlns:ns1="http://schemas.microsoft.com/sharepoint/v3" xmlns:ns2="ca5e3ca9-1947-49c0-ae06-ac5447bb30bf" xmlns:ns3="47dc6b99-b1ea-4bbf-b464-d5e03e75fb87" targetNamespace="http://schemas.microsoft.com/office/2006/metadata/properties" ma:root="true" ma:fieldsID="2390c32472a5d8bf8be2516ba490f4c3" ns1:_="" ns2:_="" ns3:_="">
    <xsd:import namespace="http://schemas.microsoft.com/sharepoint/v3"/>
    <xsd:import namespace="ca5e3ca9-1947-49c0-ae06-ac5447bb30bf"/>
    <xsd:import namespace="47dc6b99-b1ea-4bbf-b464-d5e03e75fb8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1:_ip_UnifiedCompliancePolicyProperties" minOccurs="0"/>
                <xsd:element ref="ns1:_ip_UnifiedCompliancePolicyUIAction" minOccurs="0"/>
                <xsd:element ref="ns2:CheckedBy" minOccurs="0"/>
                <xsd:element ref="ns2:Datecheck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a5e3ca9-1947-49c0-ae06-ac5447bb30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4a116291-8940-45ec-a4de-919d70dcb1aa"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CheckedBy" ma:index="22" nillable="true" ma:displayName="Checked By " ma:format="Dropdown" ma:list="UserInfo" ma:SharePointGroup="0" ma:internalName="CheckedBy">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atechecked" ma:index="23" nillable="true" ma:displayName="Date checked " ma:format="DateOnly" ma:internalName="Datechecked">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47dc6b99-b1ea-4bbf-b464-d5e03e75fb8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1fbfc76-0fd0-4978-a59e-913b41a8350c}" ma:internalName="TaxCatchAll" ma:showField="CatchAllData" ma:web="47dc6b99-b1ea-4bbf-b464-d5e03e75fb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D49E6D-F67F-43B6-9CBF-1BDEE0457748}">
  <ds:schemaRefs>
    <ds:schemaRef ds:uri="http://schemas.microsoft.com/office/2006/metadata/properties"/>
    <ds:schemaRef ds:uri="http://schemas.microsoft.com/office/infopath/2007/PartnerControls"/>
    <ds:schemaRef ds:uri="http://schemas.microsoft.com/sharepoint/v3"/>
    <ds:schemaRef ds:uri="ca5e3ca9-1947-49c0-ae06-ac5447bb30bf"/>
    <ds:schemaRef ds:uri="47dc6b99-b1ea-4bbf-b464-d5e03e75fb87"/>
  </ds:schemaRefs>
</ds:datastoreItem>
</file>

<file path=customXml/itemProps2.xml><?xml version="1.0" encoding="utf-8"?>
<ds:datastoreItem xmlns:ds="http://schemas.openxmlformats.org/officeDocument/2006/customXml" ds:itemID="{35806947-4E1E-47E1-9156-4D1EC856B37A}">
  <ds:schemaRefs>
    <ds:schemaRef ds:uri="http://schemas.microsoft.com/sharepoint/v3/contenttype/forms"/>
  </ds:schemaRefs>
</ds:datastoreItem>
</file>

<file path=customXml/itemProps3.xml><?xml version="1.0" encoding="utf-8"?>
<ds:datastoreItem xmlns:ds="http://schemas.openxmlformats.org/officeDocument/2006/customXml" ds:itemID="{DE76E8AD-178A-4EE3-82FA-CF1D54E61C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a5e3ca9-1947-49c0-ae06-ac5447bb30bf"/>
    <ds:schemaRef ds:uri="47dc6b99-b1ea-4bbf-b464-d5e03e75fb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Summary Details</vt:lpstr>
      <vt:lpstr>Detailed Description</vt:lpstr>
      <vt:lpstr>Version History</vt:lpstr>
      <vt:lpstr>Enquiry</vt:lpstr>
      <vt:lpstr>Affordability Calculator</vt:lpstr>
      <vt:lpstr>Mortgage Repayments (UW)</vt:lpstr>
      <vt:lpstr>Mortgage Repayments (E)</vt:lpstr>
      <vt:lpstr>Data</vt:lpstr>
      <vt:lpstr>Council tax</vt:lpstr>
      <vt:lpstr>Postcodes</vt:lpstr>
      <vt:lpstr>E Calc</vt:lpstr>
      <vt:lpstr>Tax Calculator</vt:lpstr>
      <vt:lpstr>'Affordability Calculator'!Print_Area</vt:lpstr>
      <vt:lpstr>Enquiry!Print_Area</vt:lpstr>
      <vt:lpstr>'Version History'!Print_Area</vt:lpstr>
      <vt:lpstr>Prodcut_Length2</vt:lpstr>
      <vt:lpstr>product_length</vt:lpstr>
      <vt:lpstr>Products</vt:lpstr>
      <vt:lpstr>Products1</vt:lpstr>
      <vt:lpstr>repayment_type</vt:lpstr>
      <vt:lpstr>TALO6</vt:lpstr>
    </vt:vector>
  </TitlesOfParts>
  <Company>The Council of Mortgage Lenders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Council of Mortgage Lenders</dc:creator>
  <cp:lastModifiedBy>Jamie Chudasama</cp:lastModifiedBy>
  <cp:lastPrinted>2019-04-02T13:18:49Z</cp:lastPrinted>
  <dcterms:created xsi:type="dcterms:W3CDTF">2013-10-23T13:00:48Z</dcterms:created>
  <dcterms:modified xsi:type="dcterms:W3CDTF">2026-04-20T12:46:17Z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a20c619-40ef-448c-a1ff-59e568fb9742_Enabled">
    <vt:lpwstr>true</vt:lpwstr>
  </property>
  <property fmtid="{D5CDD505-2E9C-101B-9397-08002B2CF9AE}" pid="3" name="MSIP_Label_ba20c619-40ef-448c-a1ff-59e568fb9742_SetDate">
    <vt:lpwstr>2022-11-11T13:58:38Z</vt:lpwstr>
  </property>
  <property fmtid="{D5CDD505-2E9C-101B-9397-08002B2CF9AE}" pid="4" name="MSIP_Label_ba20c619-40ef-448c-a1ff-59e568fb9742_Method">
    <vt:lpwstr>Privileged</vt:lpwstr>
  </property>
  <property fmtid="{D5CDD505-2E9C-101B-9397-08002B2CF9AE}" pid="5" name="MSIP_Label_ba20c619-40ef-448c-a1ff-59e568fb9742_Name">
    <vt:lpwstr>Highly Confidential</vt:lpwstr>
  </property>
  <property fmtid="{D5CDD505-2E9C-101B-9397-08002B2CF9AE}" pid="6" name="MSIP_Label_ba20c619-40ef-448c-a1ff-59e568fb9742_SiteId">
    <vt:lpwstr>73fbd2e1-00f5-459c-93eb-4d86cc9f5b22</vt:lpwstr>
  </property>
  <property fmtid="{D5CDD505-2E9C-101B-9397-08002B2CF9AE}" pid="7" name="MSIP_Label_ba20c619-40ef-448c-a1ff-59e568fb9742_ActionId">
    <vt:lpwstr>b3b62c38-8185-40ea-b80d-10e19ab809fd</vt:lpwstr>
  </property>
  <property fmtid="{D5CDD505-2E9C-101B-9397-08002B2CF9AE}" pid="8" name="MSIP_Label_ba20c619-40ef-448c-a1ff-59e568fb9742_ContentBits">
    <vt:lpwstr>2</vt:lpwstr>
  </property>
  <property fmtid="{D5CDD505-2E9C-101B-9397-08002B2CF9AE}" pid="9" name="ContentTypeId">
    <vt:lpwstr>0x010100271777CCE8F6FC49B0A4D9A501D53999</vt:lpwstr>
  </property>
</Properties>
</file>